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2.xml" ContentType="application/vnd.openxmlformats-officedocument.drawing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8709b276fe2585e3/Documentos/Elemental/Contenido/Modulo 1/"/>
    </mc:Choice>
  </mc:AlternateContent>
  <xr:revisionPtr revIDLastSave="88" documentId="13_ncr:1_{4A844CED-4CFF-47EC-8CCE-603CFB056ACE}" xr6:coauthVersionLast="47" xr6:coauthVersionMax="47" xr10:uidLastSave="{DB09E5AF-56E0-495E-96F6-453463774F44}"/>
  <bookViews>
    <workbookView xWindow="-108" yWindow="-108" windowWidth="23256" windowHeight="12456" xr2:uid="{00000000-000D-0000-FFFF-FFFF00000000}"/>
  </bookViews>
  <sheets>
    <sheet name="PRESUPUESTO PERSONAL" sheetId="1" r:id="rId1"/>
    <sheet name="2025" sheetId="2" r:id="rId2"/>
  </sheets>
  <definedNames>
    <definedName name="LastCol" localSheetId="1">COUNTA('2025'!$4:$4)+1</definedName>
    <definedName name="LastCol">COUNTA('PRESUPUESTO PERSONAL'!$4:$4)+1</definedName>
    <definedName name="PrintArea_SET" localSheetId="1">OFFSET('2025'!$C$2,,,MATCH(REPT("z",255),'2025'!$C:$C),'2025'!LastCol)</definedName>
    <definedName name="PrintArea_SET">OFFSET('PRESUPUESTO PERSONAL'!$C$2,,,MATCH(REPT("z",255),'PRESUPUESTO PERSONAL'!$C:$C),LastCol)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2" l="1"/>
  <c r="P8" i="2"/>
  <c r="P9" i="2"/>
  <c r="O126" i="2"/>
  <c r="N126" i="2"/>
  <c r="M126" i="2"/>
  <c r="M130" i="2" s="1"/>
  <c r="L126" i="2"/>
  <c r="L130" i="2" s="1"/>
  <c r="K126" i="2"/>
  <c r="K130" i="2" s="1"/>
  <c r="J126" i="2"/>
  <c r="I126" i="2"/>
  <c r="H126" i="2"/>
  <c r="H130" i="2" s="1"/>
  <c r="G126" i="2"/>
  <c r="G130" i="2" s="1"/>
  <c r="F126" i="2"/>
  <c r="F130" i="2" s="1"/>
  <c r="E126" i="2"/>
  <c r="D126" i="2"/>
  <c r="P125" i="2"/>
  <c r="P124" i="2"/>
  <c r="P123" i="2"/>
  <c r="P122" i="2"/>
  <c r="P121" i="2"/>
  <c r="P126" i="2" s="1"/>
  <c r="O116" i="2"/>
  <c r="N116" i="2"/>
  <c r="M116" i="2"/>
  <c r="L116" i="2"/>
  <c r="K116" i="2"/>
  <c r="J116" i="2"/>
  <c r="I116" i="2"/>
  <c r="H116" i="2"/>
  <c r="G116" i="2"/>
  <c r="F116" i="2"/>
  <c r="E116" i="2"/>
  <c r="D116" i="2"/>
  <c r="P115" i="2"/>
  <c r="P114" i="2"/>
  <c r="P113" i="2"/>
  <c r="P112" i="2"/>
  <c r="P111" i="2"/>
  <c r="P116" i="2" s="1"/>
  <c r="O106" i="2"/>
  <c r="O130" i="2" s="1"/>
  <c r="N106" i="2"/>
  <c r="M106" i="2"/>
  <c r="L106" i="2"/>
  <c r="K106" i="2"/>
  <c r="J106" i="2"/>
  <c r="J130" i="2" s="1"/>
  <c r="I106" i="2"/>
  <c r="H106" i="2"/>
  <c r="G106" i="2"/>
  <c r="F106" i="2"/>
  <c r="E106" i="2"/>
  <c r="E130" i="2" s="1"/>
  <c r="E131" i="2" s="1"/>
  <c r="D106" i="2"/>
  <c r="D130" i="2" s="1"/>
  <c r="P105" i="2"/>
  <c r="P104" i="2"/>
  <c r="P103" i="2"/>
  <c r="P102" i="2"/>
  <c r="P101" i="2"/>
  <c r="P106" i="2" s="1"/>
  <c r="O96" i="2"/>
  <c r="N96" i="2"/>
  <c r="M96" i="2"/>
  <c r="L96" i="2"/>
  <c r="K96" i="2"/>
  <c r="J96" i="2"/>
  <c r="I96" i="2"/>
  <c r="H96" i="2"/>
  <c r="G96" i="2"/>
  <c r="F96" i="2"/>
  <c r="E96" i="2"/>
  <c r="D96" i="2"/>
  <c r="P95" i="2"/>
  <c r="P94" i="2"/>
  <c r="P93" i="2"/>
  <c r="P92" i="2"/>
  <c r="P91" i="2"/>
  <c r="P90" i="2"/>
  <c r="P89" i="2"/>
  <c r="P96" i="2" s="1"/>
  <c r="O84" i="2"/>
  <c r="N84" i="2"/>
  <c r="M84" i="2"/>
  <c r="L84" i="2"/>
  <c r="K84" i="2"/>
  <c r="J84" i="2"/>
  <c r="I84" i="2"/>
  <c r="I130" i="2" s="1"/>
  <c r="I131" i="2" s="1"/>
  <c r="H84" i="2"/>
  <c r="G84" i="2"/>
  <c r="F84" i="2"/>
  <c r="E84" i="2"/>
  <c r="D84" i="2"/>
  <c r="P83" i="2"/>
  <c r="P82" i="2"/>
  <c r="P81" i="2"/>
  <c r="P80" i="2"/>
  <c r="P84" i="2" s="1"/>
  <c r="O75" i="2"/>
  <c r="N75" i="2"/>
  <c r="M75" i="2"/>
  <c r="L75" i="2"/>
  <c r="K75" i="2"/>
  <c r="J75" i="2"/>
  <c r="I75" i="2"/>
  <c r="H75" i="2"/>
  <c r="G75" i="2"/>
  <c r="F75" i="2"/>
  <c r="E75" i="2"/>
  <c r="D75" i="2"/>
  <c r="P74" i="2"/>
  <c r="P73" i="2"/>
  <c r="P72" i="2"/>
  <c r="P71" i="2"/>
  <c r="P70" i="2"/>
  <c r="P69" i="2"/>
  <c r="P75" i="2" s="1"/>
  <c r="O64" i="2"/>
  <c r="N64" i="2"/>
  <c r="M64" i="2"/>
  <c r="L64" i="2"/>
  <c r="K64" i="2"/>
  <c r="J64" i="2"/>
  <c r="I64" i="2"/>
  <c r="H64" i="2"/>
  <c r="G64" i="2"/>
  <c r="F64" i="2"/>
  <c r="E64" i="2"/>
  <c r="D64" i="2"/>
  <c r="P63" i="2"/>
  <c r="P62" i="2"/>
  <c r="P61" i="2"/>
  <c r="P60" i="2"/>
  <c r="P59" i="2"/>
  <c r="P58" i="2"/>
  <c r="P57" i="2"/>
  <c r="P64" i="2" s="1"/>
  <c r="O52" i="2"/>
  <c r="N52" i="2"/>
  <c r="M52" i="2"/>
  <c r="L52" i="2"/>
  <c r="K52" i="2"/>
  <c r="J52" i="2"/>
  <c r="I52" i="2"/>
  <c r="H52" i="2"/>
  <c r="G52" i="2"/>
  <c r="F52" i="2"/>
  <c r="E52" i="2"/>
  <c r="D52" i="2"/>
  <c r="P51" i="2"/>
  <c r="P50" i="2"/>
  <c r="P49" i="2"/>
  <c r="P48" i="2"/>
  <c r="P52" i="2" s="1"/>
  <c r="O43" i="2"/>
  <c r="N43" i="2"/>
  <c r="N130" i="2" s="1"/>
  <c r="N131" i="2" s="1"/>
  <c r="M43" i="2"/>
  <c r="L43" i="2"/>
  <c r="K43" i="2"/>
  <c r="J43" i="2"/>
  <c r="I43" i="2"/>
  <c r="H43" i="2"/>
  <c r="G43" i="2"/>
  <c r="F43" i="2"/>
  <c r="E43" i="2"/>
  <c r="D43" i="2"/>
  <c r="P42" i="2"/>
  <c r="P41" i="2"/>
  <c r="P40" i="2"/>
  <c r="P39" i="2"/>
  <c r="P38" i="2"/>
  <c r="P37" i="2"/>
  <c r="P43" i="2" s="1"/>
  <c r="O32" i="2"/>
  <c r="N32" i="2"/>
  <c r="M32" i="2"/>
  <c r="L32" i="2"/>
  <c r="K32" i="2"/>
  <c r="J32" i="2"/>
  <c r="I32" i="2"/>
  <c r="H32" i="2"/>
  <c r="G32" i="2"/>
  <c r="F32" i="2"/>
  <c r="E32" i="2"/>
  <c r="D32" i="2"/>
  <c r="P31" i="2"/>
  <c r="P30" i="2"/>
  <c r="P29" i="2"/>
  <c r="P28" i="2"/>
  <c r="P27" i="2"/>
  <c r="P26" i="2"/>
  <c r="P32" i="2" s="1"/>
  <c r="O21" i="2"/>
  <c r="N21" i="2"/>
  <c r="M21" i="2"/>
  <c r="L21" i="2"/>
  <c r="K21" i="2"/>
  <c r="J21" i="2"/>
  <c r="I21" i="2"/>
  <c r="H21" i="2"/>
  <c r="G21" i="2"/>
  <c r="F21" i="2"/>
  <c r="E21" i="2"/>
  <c r="D21" i="2"/>
  <c r="P20" i="2"/>
  <c r="P19" i="2"/>
  <c r="P18" i="2"/>
  <c r="P17" i="2"/>
  <c r="P16" i="2"/>
  <c r="P21" i="2" s="1"/>
  <c r="O10" i="2"/>
  <c r="N10" i="2"/>
  <c r="M10" i="2"/>
  <c r="L10" i="2"/>
  <c r="K10" i="2"/>
  <c r="J10" i="2"/>
  <c r="I10" i="2"/>
  <c r="H10" i="2"/>
  <c r="G10" i="2"/>
  <c r="F10" i="2"/>
  <c r="E10" i="2"/>
  <c r="D10" i="2"/>
  <c r="P10" i="2"/>
  <c r="P20" i="1"/>
  <c r="P19" i="1"/>
  <c r="P16" i="1"/>
  <c r="P18" i="1"/>
  <c r="P17" i="1"/>
  <c r="D131" i="2" l="1"/>
  <c r="F131" i="2"/>
  <c r="G131" i="2"/>
  <c r="J131" i="2"/>
  <c r="H131" i="2"/>
  <c r="L131" i="2"/>
  <c r="K131" i="2"/>
  <c r="O131" i="2"/>
  <c r="M131" i="2"/>
  <c r="P130" i="2"/>
  <c r="P131" i="2" s="1"/>
  <c r="E126" i="1"/>
  <c r="F126" i="1"/>
  <c r="G126" i="1"/>
  <c r="H126" i="1"/>
  <c r="I126" i="1"/>
  <c r="J126" i="1"/>
  <c r="K126" i="1"/>
  <c r="L126" i="1"/>
  <c r="M126" i="1"/>
  <c r="N126" i="1"/>
  <c r="O126" i="1"/>
  <c r="D126" i="1"/>
  <c r="E116" i="1"/>
  <c r="F116" i="1"/>
  <c r="G116" i="1"/>
  <c r="H116" i="1"/>
  <c r="I116" i="1"/>
  <c r="J116" i="1"/>
  <c r="K116" i="1"/>
  <c r="L116" i="1"/>
  <c r="M116" i="1"/>
  <c r="N116" i="1"/>
  <c r="O116" i="1"/>
  <c r="D116" i="1"/>
  <c r="E106" i="1"/>
  <c r="F106" i="1"/>
  <c r="G106" i="1"/>
  <c r="H106" i="1"/>
  <c r="I106" i="1"/>
  <c r="J106" i="1"/>
  <c r="K106" i="1"/>
  <c r="L106" i="1"/>
  <c r="M106" i="1"/>
  <c r="N106" i="1"/>
  <c r="O106" i="1"/>
  <c r="D106" i="1"/>
  <c r="E96" i="1"/>
  <c r="F96" i="1"/>
  <c r="G96" i="1"/>
  <c r="H96" i="1"/>
  <c r="I96" i="1"/>
  <c r="J96" i="1"/>
  <c r="K96" i="1"/>
  <c r="L96" i="1"/>
  <c r="M96" i="1"/>
  <c r="N96" i="1"/>
  <c r="O96" i="1"/>
  <c r="D96" i="1"/>
  <c r="E84" i="1"/>
  <c r="F84" i="1"/>
  <c r="G84" i="1"/>
  <c r="H84" i="1"/>
  <c r="I84" i="1"/>
  <c r="J84" i="1"/>
  <c r="K84" i="1"/>
  <c r="L84" i="1"/>
  <c r="M84" i="1"/>
  <c r="N84" i="1"/>
  <c r="O84" i="1"/>
  <c r="D84" i="1"/>
  <c r="E75" i="1"/>
  <c r="F75" i="1"/>
  <c r="G75" i="1"/>
  <c r="H75" i="1"/>
  <c r="I75" i="1"/>
  <c r="J75" i="1"/>
  <c r="K75" i="1"/>
  <c r="L75" i="1"/>
  <c r="M75" i="1"/>
  <c r="N75" i="1"/>
  <c r="O75" i="1"/>
  <c r="D75" i="1"/>
  <c r="E64" i="1"/>
  <c r="F64" i="1"/>
  <c r="G64" i="1"/>
  <c r="H64" i="1"/>
  <c r="I64" i="1"/>
  <c r="J64" i="1"/>
  <c r="K64" i="1"/>
  <c r="L64" i="1"/>
  <c r="M64" i="1"/>
  <c r="N64" i="1"/>
  <c r="O64" i="1"/>
  <c r="D64" i="1"/>
  <c r="P122" i="1"/>
  <c r="P123" i="1"/>
  <c r="P124" i="1"/>
  <c r="P125" i="1"/>
  <c r="P121" i="1"/>
  <c r="P112" i="1"/>
  <c r="P113" i="1"/>
  <c r="P114" i="1"/>
  <c r="P115" i="1"/>
  <c r="P111" i="1"/>
  <c r="P102" i="1"/>
  <c r="P103" i="1"/>
  <c r="P104" i="1"/>
  <c r="P105" i="1"/>
  <c r="P101" i="1"/>
  <c r="P90" i="1"/>
  <c r="P91" i="1"/>
  <c r="P92" i="1"/>
  <c r="P93" i="1"/>
  <c r="P94" i="1"/>
  <c r="P95" i="1"/>
  <c r="P89" i="1"/>
  <c r="P81" i="1"/>
  <c r="P82" i="1"/>
  <c r="P83" i="1"/>
  <c r="P80" i="1"/>
  <c r="P70" i="1"/>
  <c r="P71" i="1"/>
  <c r="P72" i="1"/>
  <c r="P73" i="1"/>
  <c r="P74" i="1"/>
  <c r="P69" i="1"/>
  <c r="P58" i="1"/>
  <c r="P59" i="1"/>
  <c r="P60" i="1"/>
  <c r="P61" i="1"/>
  <c r="P62" i="1"/>
  <c r="P63" i="1"/>
  <c r="P57" i="1"/>
  <c r="E52" i="1"/>
  <c r="F52" i="1"/>
  <c r="G52" i="1"/>
  <c r="H52" i="1"/>
  <c r="I52" i="1"/>
  <c r="J52" i="1"/>
  <c r="K52" i="1"/>
  <c r="L52" i="1"/>
  <c r="M52" i="1"/>
  <c r="N52" i="1"/>
  <c r="O52" i="1"/>
  <c r="D52" i="1"/>
  <c r="P49" i="1"/>
  <c r="P50" i="1"/>
  <c r="P51" i="1"/>
  <c r="P48" i="1"/>
  <c r="E43" i="1"/>
  <c r="F43" i="1"/>
  <c r="G43" i="1"/>
  <c r="H43" i="1"/>
  <c r="I43" i="1"/>
  <c r="J43" i="1"/>
  <c r="K43" i="1"/>
  <c r="L43" i="1"/>
  <c r="M43" i="1"/>
  <c r="N43" i="1"/>
  <c r="O43" i="1"/>
  <c r="D43" i="1"/>
  <c r="P38" i="1"/>
  <c r="P39" i="1"/>
  <c r="P40" i="1"/>
  <c r="P41" i="1"/>
  <c r="P42" i="1"/>
  <c r="P37" i="1"/>
  <c r="E32" i="1"/>
  <c r="F32" i="1"/>
  <c r="G32" i="1"/>
  <c r="H32" i="1"/>
  <c r="I32" i="1"/>
  <c r="J32" i="1"/>
  <c r="K32" i="1"/>
  <c r="L32" i="1"/>
  <c r="M32" i="1"/>
  <c r="N32" i="1"/>
  <c r="O32" i="1"/>
  <c r="D32" i="1"/>
  <c r="P27" i="1"/>
  <c r="P28" i="1"/>
  <c r="P29" i="1"/>
  <c r="P30" i="1"/>
  <c r="P31" i="1"/>
  <c r="P26" i="1"/>
  <c r="E21" i="1"/>
  <c r="F21" i="1"/>
  <c r="G21" i="1"/>
  <c r="H21" i="1"/>
  <c r="I21" i="1"/>
  <c r="J21" i="1"/>
  <c r="K21" i="1"/>
  <c r="L21" i="1"/>
  <c r="M21" i="1"/>
  <c r="N21" i="1"/>
  <c r="O21" i="1"/>
  <c r="D21" i="1"/>
  <c r="P52" i="1" l="1"/>
  <c r="P116" i="1"/>
  <c r="P106" i="1"/>
  <c r="P96" i="1"/>
  <c r="P84" i="1"/>
  <c r="P75" i="1"/>
  <c r="P64" i="1"/>
  <c r="L130" i="1"/>
  <c r="P43" i="1"/>
  <c r="P32" i="1"/>
  <c r="P21" i="1"/>
  <c r="K130" i="1"/>
  <c r="J130" i="1"/>
  <c r="I130" i="1"/>
  <c r="D130" i="1"/>
  <c r="H130" i="1"/>
  <c r="O130" i="1"/>
  <c r="N130" i="1"/>
  <c r="M130" i="1"/>
  <c r="E130" i="1"/>
  <c r="G130" i="1"/>
  <c r="F130" i="1"/>
  <c r="P126" i="1"/>
  <c r="O10" i="1"/>
  <c r="G10" i="1"/>
  <c r="L10" i="1"/>
  <c r="N10" i="1"/>
  <c r="F10" i="1"/>
  <c r="E10" i="1"/>
  <c r="I10" i="1"/>
  <c r="H10" i="1"/>
  <c r="D10" i="1"/>
  <c r="M10" i="1"/>
  <c r="K10" i="1"/>
  <c r="P9" i="1"/>
  <c r="P8" i="1"/>
  <c r="J10" i="1"/>
  <c r="P7" i="1"/>
  <c r="D131" i="1" l="1"/>
  <c r="L131" i="1"/>
  <c r="J131" i="1"/>
  <c r="I131" i="1"/>
  <c r="F131" i="1"/>
  <c r="N131" i="1"/>
  <c r="H131" i="1"/>
  <c r="P130" i="1"/>
  <c r="K131" i="1"/>
  <c r="M131" i="1"/>
  <c r="G131" i="1"/>
  <c r="O131" i="1"/>
  <c r="E131" i="1"/>
  <c r="P10" i="1"/>
  <c r="P131" i="1" l="1"/>
</calcChain>
</file>

<file path=xl/sharedStrings.xml><?xml version="1.0" encoding="utf-8"?>
<sst xmlns="http://schemas.openxmlformats.org/spreadsheetml/2006/main" count="626" uniqueCount="115">
  <si>
    <t>GANANCIAS</t>
  </si>
  <si>
    <t>INGRESOS</t>
  </si>
  <si>
    <t>Intereses y dividendos</t>
  </si>
  <si>
    <t>Total</t>
  </si>
  <si>
    <t>GASTOS</t>
  </si>
  <si>
    <t>CASA</t>
  </si>
  <si>
    <t>Casa</t>
  </si>
  <si>
    <t>Seguro</t>
  </si>
  <si>
    <t>Reparaciones</t>
  </si>
  <si>
    <t>Servicios</t>
  </si>
  <si>
    <t>Suministros</t>
  </si>
  <si>
    <t>VIDA DIARIA</t>
  </si>
  <si>
    <t>Vida diaria</t>
  </si>
  <si>
    <t xml:space="preserve">Comestibles </t>
  </si>
  <si>
    <t>Cuidado de los niños</t>
  </si>
  <si>
    <t>Tintorería</t>
  </si>
  <si>
    <t>Restaurantes</t>
  </si>
  <si>
    <t>Servicio de limpieza</t>
  </si>
  <si>
    <t>Cuidado del perro</t>
  </si>
  <si>
    <t>TRANSPORTE</t>
  </si>
  <si>
    <t>Transporte</t>
  </si>
  <si>
    <t>Gas o combustible</t>
  </si>
  <si>
    <t>Lavado del coche y servicios de detalles similares</t>
  </si>
  <si>
    <t>Aparcamiento</t>
  </si>
  <si>
    <t>Transporte público</t>
  </si>
  <si>
    <t>ENTRETENIMIENTO</t>
  </si>
  <si>
    <t>Entretenimiento</t>
  </si>
  <si>
    <t>Televisión por cable</t>
  </si>
  <si>
    <t>Películas y juegos</t>
  </si>
  <si>
    <t>Conciertos y discotecas</t>
  </si>
  <si>
    <t>SALUD</t>
  </si>
  <si>
    <t>Salud</t>
  </si>
  <si>
    <t>Cuota del gimnasio</t>
  </si>
  <si>
    <t>Recetas</t>
  </si>
  <si>
    <t>Medicamentos sin receta</t>
  </si>
  <si>
    <t>Copagos y gastos de bolsillo</t>
  </si>
  <si>
    <t>Veterinario y medicamentos para las mascotas</t>
  </si>
  <si>
    <t>Seguro de vida</t>
  </si>
  <si>
    <t>VACACIONES</t>
  </si>
  <si>
    <t>Vacaciones</t>
  </si>
  <si>
    <t>Hoteles</t>
  </si>
  <si>
    <t>Comida</t>
  </si>
  <si>
    <t>Regalos</t>
  </si>
  <si>
    <t>Alojamiento de las mascotas</t>
  </si>
  <si>
    <t>OCIO</t>
  </si>
  <si>
    <t>Ocio</t>
  </si>
  <si>
    <t>Gastos del gimnasio</t>
  </si>
  <si>
    <t>Material deportivo</t>
  </si>
  <si>
    <t>Cuotas del equipo</t>
  </si>
  <si>
    <t>Juguetes y otros artículos para los niños</t>
  </si>
  <si>
    <t>CUOTAS Y SUSCRIPCIONES</t>
  </si>
  <si>
    <t>Cuotas y suscripciones</t>
  </si>
  <si>
    <t>Revistas</t>
  </si>
  <si>
    <t>Periódicos</t>
  </si>
  <si>
    <t>Conexión a Internet</t>
  </si>
  <si>
    <t>Radio pública</t>
  </si>
  <si>
    <t>Televisión pública</t>
  </si>
  <si>
    <t>Organizaciones religiosas</t>
  </si>
  <si>
    <t>Beneficencia</t>
  </si>
  <si>
    <t>PERSONAL</t>
  </si>
  <si>
    <t>Personal</t>
  </si>
  <si>
    <t>Ropa</t>
  </si>
  <si>
    <t>Salones de belleza y barberías</t>
  </si>
  <si>
    <t>Libros</t>
  </si>
  <si>
    <t>Música (CD, etc.)</t>
  </si>
  <si>
    <t>OBLIGACIONES FINANCIERAS</t>
  </si>
  <si>
    <t>Obligaciones financieras</t>
  </si>
  <si>
    <t>Ahorros a largo plazo</t>
  </si>
  <si>
    <t>Plan de jubilación</t>
  </si>
  <si>
    <t>Pagos con la tarjeta de crédito</t>
  </si>
  <si>
    <t>Impuesto sobre la renta (adicional)</t>
  </si>
  <si>
    <t>Otras obligaciones</t>
  </si>
  <si>
    <t>PAGOS VARIOS</t>
  </si>
  <si>
    <t>Pagos varios</t>
  </si>
  <si>
    <t xml:space="preserve">   Otros</t>
  </si>
  <si>
    <t>TOTALES</t>
  </si>
  <si>
    <t>Gastos totales</t>
  </si>
  <si>
    <t>Efectivo a corto plazo y gastos extra</t>
  </si>
  <si>
    <t>ENE</t>
  </si>
  <si>
    <t>Ene</t>
  </si>
  <si>
    <t>FEB</t>
  </si>
  <si>
    <t>Feb</t>
  </si>
  <si>
    <t>MAR</t>
  </si>
  <si>
    <t>Marzo</t>
  </si>
  <si>
    <t>ABR</t>
  </si>
  <si>
    <t>Abril</t>
  </si>
  <si>
    <t>MAYO</t>
  </si>
  <si>
    <t>Mayo</t>
  </si>
  <si>
    <t>JUN</t>
  </si>
  <si>
    <t>Junio</t>
  </si>
  <si>
    <t>JUL</t>
  </si>
  <si>
    <t>Julio</t>
  </si>
  <si>
    <t>AGO</t>
  </si>
  <si>
    <t>Ago</t>
  </si>
  <si>
    <t>SEP</t>
  </si>
  <si>
    <t>Sept</t>
  </si>
  <si>
    <t>OCT</t>
  </si>
  <si>
    <t>Oct</t>
  </si>
  <si>
    <t>NOV</t>
  </si>
  <si>
    <t>Nov</t>
  </si>
  <si>
    <t>DIC</t>
  </si>
  <si>
    <t>Dic</t>
  </si>
  <si>
    <t>AÑO</t>
  </si>
  <si>
    <t>Año</t>
  </si>
  <si>
    <t xml:space="preserve"> </t>
  </si>
  <si>
    <t>Columna1</t>
  </si>
  <si>
    <t>Pasaje de Avión</t>
  </si>
  <si>
    <t>Alquiler de Vehículo</t>
  </si>
  <si>
    <t>Suscripciones</t>
  </si>
  <si>
    <t>Alquiler</t>
  </si>
  <si>
    <t>Sueldo</t>
  </si>
  <si>
    <t>Ventas</t>
  </si>
  <si>
    <t>Columna2</t>
  </si>
  <si>
    <t>Columna3</t>
  </si>
  <si>
    <t>Columna4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</si>
</sst>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#,##0.00\ &quot;€&quot;"/>
    <numFmt numFmtId="169" formatCode="_-[$$-2C0A]\ * #,##0.00_-;\-[$$-2C0A]\ * #,##0.00_-;_-[$$-2C0A]\ * &quot;-&quot;??_-;_-@_-"/>
  </numFmts>
  <fonts count="31" x14ac:knownFonts="1">
    <font>
      <sz val="10"/>
      <color theme="1" tint="0.14993743705557422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0"/>
      <color theme="1" tint="0.14990691854609822"/>
      <name val="Gill Sans MT"/>
      <family val="2"/>
      <scheme val="major"/>
    </font>
    <font>
      <sz val="11"/>
      <color theme="1" tint="0.14993743705557422"/>
      <name val="Gill Sans MT"/>
      <family val="2"/>
      <scheme val="major"/>
    </font>
    <font>
      <sz val="22"/>
      <color theme="1" tint="0.14993743705557422"/>
      <name val="Gill Sans MT"/>
      <family val="2"/>
      <scheme val="major"/>
    </font>
    <font>
      <sz val="24"/>
      <color theme="1" tint="0.14993743705557422"/>
      <name val="Gill Sans MT"/>
      <family val="1"/>
      <scheme val="major"/>
    </font>
    <font>
      <sz val="10"/>
      <color theme="4" tint="-0.499984740745262"/>
      <name val="verdana"/>
      <family val="2"/>
      <scheme val="minor"/>
    </font>
    <font>
      <sz val="10"/>
      <color theme="5" tint="-0.499984740745262"/>
      <name val="verdana"/>
      <family val="2"/>
      <scheme val="minor"/>
    </font>
    <font>
      <sz val="11"/>
      <color theme="1" tint="0.34998626667073579"/>
      <name val="Gill Sans MT"/>
      <family val="2"/>
      <scheme val="major"/>
    </font>
    <font>
      <b/>
      <sz val="10"/>
      <color theme="4"/>
      <name val="Gill Sans MT"/>
      <family val="2"/>
      <scheme val="major"/>
    </font>
    <font>
      <sz val="10"/>
      <color theme="0"/>
      <name val="verdana"/>
      <family val="2"/>
      <scheme val="minor"/>
    </font>
    <font>
      <b/>
      <sz val="10"/>
      <color theme="5"/>
      <name val="Gill Sans MT"/>
      <family val="2"/>
      <scheme val="major"/>
    </font>
    <font>
      <b/>
      <sz val="10"/>
      <color theme="0"/>
      <name val="Gill Sans MT"/>
      <family val="2"/>
      <scheme val="major"/>
    </font>
    <font>
      <b/>
      <sz val="10"/>
      <color theme="4"/>
      <name val="verdana"/>
      <family val="2"/>
      <scheme val="minor"/>
    </font>
    <font>
      <b/>
      <sz val="10"/>
      <color theme="5"/>
      <name val="verdana"/>
      <family val="2"/>
      <scheme val="minor"/>
    </font>
    <font>
      <sz val="10"/>
      <color theme="1" tint="0.14993743705557422"/>
      <name val="verdana"/>
      <family val="2"/>
      <scheme val="minor"/>
    </font>
    <font>
      <sz val="18"/>
      <color theme="3"/>
      <name val="Gill Sans MT"/>
      <family val="2"/>
      <scheme val="maj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11"/>
      <color rgb="FF0BFEE1"/>
      <name val="Lato"/>
    </font>
    <font>
      <sz val="8"/>
      <name val="verdana"/>
      <family val="2"/>
      <scheme val="minor"/>
    </font>
  </fonts>
  <fills count="47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rgb="FFEFF5FF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A3B4E"/>
        <bgColor indexed="64"/>
      </patternFill>
    </fill>
    <fill>
      <patternFill patternType="solid">
        <fgColor rgb="FF0BFEE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rgb="FF2A3B4E"/>
      </right>
      <top/>
      <bottom/>
      <diagonal/>
    </border>
  </borders>
  <cellStyleXfs count="47">
    <xf numFmtId="0" fontId="0" fillId="13" borderId="0">
      <alignment vertical="center"/>
    </xf>
    <xf numFmtId="0" fontId="4" fillId="0" borderId="0" applyNumberFormat="0" applyFill="0" applyProtection="0">
      <alignment vertical="center"/>
    </xf>
    <xf numFmtId="0" fontId="3" fillId="0" borderId="1" applyNumberFormat="0" applyFill="0" applyProtection="0">
      <alignment vertical="center"/>
    </xf>
    <xf numFmtId="0" fontId="2" fillId="5" borderId="0" applyNumberFormat="0" applyProtection="0">
      <alignment horizontal="left" vertical="center" indent="1"/>
    </xf>
    <xf numFmtId="0" fontId="2" fillId="2" borderId="0" applyNumberFormat="0" applyProtection="0">
      <alignment vertical="center"/>
    </xf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4" applyNumberFormat="0" applyAlignment="0" applyProtection="0"/>
    <xf numFmtId="0" fontId="21" fillId="18" borderId="5" applyNumberFormat="0" applyAlignment="0" applyProtection="0"/>
    <xf numFmtId="0" fontId="22" fillId="18" borderId="4" applyNumberFormat="0" applyAlignment="0" applyProtection="0"/>
    <xf numFmtId="0" fontId="23" fillId="0" borderId="6" applyNumberFormat="0" applyFill="0" applyAlignment="0" applyProtection="0"/>
    <xf numFmtId="0" fontId="24" fillId="19" borderId="7" applyNumberFormat="0" applyAlignment="0" applyProtection="0"/>
    <xf numFmtId="0" fontId="25" fillId="0" borderId="0" applyNumberFormat="0" applyFill="0" applyBorder="0" applyAlignment="0" applyProtection="0"/>
    <xf numFmtId="0" fontId="15" fillId="20" borderId="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</cellStyleXfs>
  <cellXfs count="69">
    <xf numFmtId="0" fontId="0" fillId="13" borderId="0" xfId="0">
      <alignment vertical="center"/>
    </xf>
    <xf numFmtId="0" fontId="0" fillId="13" borderId="0" xfId="0" applyAlignment="1">
      <alignment horizontal="right" vertical="center"/>
    </xf>
    <xf numFmtId="0" fontId="0" fillId="13" borderId="0" xfId="0" applyAlignment="1"/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 indent="1"/>
    </xf>
    <xf numFmtId="0" fontId="7" fillId="0" borderId="0" xfId="0" applyFont="1" applyFill="1" applyAlignment="1">
      <alignment horizontal="left" vertical="center" indent="1"/>
    </xf>
    <xf numFmtId="0" fontId="6" fillId="0" borderId="0" xfId="0" applyFont="1" applyFill="1" applyAlignment="1">
      <alignment horizontal="left" vertical="center" indent="1"/>
    </xf>
    <xf numFmtId="0" fontId="0" fillId="4" borderId="0" xfId="0" applyFill="1">
      <alignment vertical="center"/>
    </xf>
    <xf numFmtId="0" fontId="8" fillId="0" borderId="0" xfId="2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horizontal="right" vertical="center"/>
    </xf>
    <xf numFmtId="0" fontId="9" fillId="0" borderId="0" xfId="3" applyFont="1" applyFill="1">
      <alignment horizontal="left" vertical="center" indent="1"/>
    </xf>
    <xf numFmtId="0" fontId="0" fillId="6" borderId="0" xfId="0" applyFill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6" fillId="6" borderId="0" xfId="0" applyFont="1" applyFill="1" applyAlignment="1">
      <alignment horizontal="right" vertical="center"/>
    </xf>
    <xf numFmtId="0" fontId="11" fillId="0" borderId="0" xfId="3" applyFont="1" applyFill="1">
      <alignment horizontal="left" vertical="center" indent="1"/>
    </xf>
    <xf numFmtId="0" fontId="7" fillId="6" borderId="0" xfId="0" applyFont="1" applyFill="1" applyAlignment="1">
      <alignment horizontal="right" vertical="center"/>
    </xf>
    <xf numFmtId="0" fontId="2" fillId="0" borderId="2" xfId="3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 indent="1"/>
    </xf>
    <xf numFmtId="0" fontId="0" fillId="0" borderId="0" xfId="0" applyFill="1" applyAlignment="1">
      <alignment horizontal="left" vertical="center"/>
    </xf>
    <xf numFmtId="0" fontId="0" fillId="6" borderId="0" xfId="0" applyFill="1" applyAlignment="1">
      <alignment horizontal="left" vertical="center" indent="1"/>
    </xf>
    <xf numFmtId="0" fontId="0" fillId="11" borderId="0" xfId="0" applyFill="1" applyAlignment="1">
      <alignment horizontal="left" vertical="center" indent="1"/>
    </xf>
    <xf numFmtId="0" fontId="13" fillId="0" borderId="0" xfId="0" applyFont="1" applyFill="1" applyAlignment="1">
      <alignment horizontal="left" vertical="center" indent="1"/>
    </xf>
    <xf numFmtId="0" fontId="11" fillId="0" borderId="0" xfId="0" applyFont="1" applyFill="1" applyAlignment="1">
      <alignment horizontal="left" vertical="center" indent="1"/>
    </xf>
    <xf numFmtId="0" fontId="14" fillId="0" borderId="0" xfId="0" applyFont="1" applyFill="1" applyAlignment="1">
      <alignment horizontal="left" vertical="center" indent="1"/>
    </xf>
    <xf numFmtId="0" fontId="12" fillId="9" borderId="0" xfId="3" applyFont="1" applyFill="1">
      <alignment horizontal="left" vertical="center" indent="1"/>
    </xf>
    <xf numFmtId="0" fontId="12" fillId="9" borderId="0" xfId="3" applyFont="1" applyFill="1" applyAlignment="1">
      <alignment horizontal="right" vertical="center"/>
    </xf>
    <xf numFmtId="0" fontId="10" fillId="9" borderId="0" xfId="0" applyFont="1" applyFill="1" applyAlignment="1">
      <alignment horizontal="left" vertical="center" indent="1"/>
    </xf>
    <xf numFmtId="0" fontId="10" fillId="9" borderId="0" xfId="0" applyFont="1" applyFill="1">
      <alignment vertical="center"/>
    </xf>
    <xf numFmtId="0" fontId="12" fillId="10" borderId="0" xfId="3" applyFont="1" applyFill="1" applyAlignment="1">
      <alignment horizontal="right" vertical="center"/>
    </xf>
    <xf numFmtId="0" fontId="10" fillId="10" borderId="0" xfId="0" applyFont="1" applyFill="1">
      <alignment vertical="center"/>
    </xf>
    <xf numFmtId="0" fontId="9" fillId="11" borderId="0" xfId="0" applyFont="1" applyFill="1" applyAlignment="1">
      <alignment horizontal="left" vertical="center" indent="1"/>
    </xf>
    <xf numFmtId="168" fontId="6" fillId="0" borderId="0" xfId="0" applyNumberFormat="1" applyFont="1" applyFill="1" applyAlignment="1">
      <alignment horizontal="right" vertical="center"/>
    </xf>
    <xf numFmtId="168" fontId="6" fillId="6" borderId="0" xfId="0" applyNumberFormat="1" applyFont="1" applyFill="1" applyAlignment="1">
      <alignment horizontal="right" vertical="center"/>
    </xf>
    <xf numFmtId="168" fontId="7" fillId="0" borderId="0" xfId="0" applyNumberFormat="1" applyFont="1" applyFill="1" applyAlignment="1">
      <alignment horizontal="right" vertical="center"/>
    </xf>
    <xf numFmtId="168" fontId="7" fillId="6" borderId="0" xfId="0" applyNumberFormat="1" applyFont="1" applyFill="1" applyAlignment="1">
      <alignment horizontal="right" vertical="center"/>
    </xf>
    <xf numFmtId="168" fontId="0" fillId="11" borderId="0" xfId="0" applyNumberFormat="1" applyFill="1" applyAlignment="1">
      <alignment horizontal="right" vertical="center"/>
    </xf>
    <xf numFmtId="168" fontId="0" fillId="6" borderId="0" xfId="0" applyNumberFormat="1" applyFill="1" applyAlignment="1">
      <alignment horizontal="right" vertical="center"/>
    </xf>
    <xf numFmtId="168" fontId="0" fillId="0" borderId="0" xfId="0" applyNumberFormat="1" applyFill="1" applyAlignment="1">
      <alignment horizontal="right" vertical="center"/>
    </xf>
    <xf numFmtId="168" fontId="10" fillId="9" borderId="0" xfId="0" applyNumberFormat="1" applyFont="1" applyFill="1" applyAlignment="1">
      <alignment horizontal="right" vertical="center"/>
    </xf>
    <xf numFmtId="169" fontId="2" fillId="0" borderId="3" xfId="7" applyNumberFormat="1" applyFont="1" applyFill="1" applyBorder="1" applyAlignment="1">
      <alignment horizontal="right" vertical="center"/>
    </xf>
    <xf numFmtId="169" fontId="2" fillId="0" borderId="0" xfId="7" applyNumberFormat="1" applyFont="1" applyFill="1" applyAlignment="1">
      <alignment horizontal="right" vertical="center"/>
    </xf>
    <xf numFmtId="169" fontId="2" fillId="0" borderId="2" xfId="7" applyNumberFormat="1" applyFont="1" applyFill="1" applyBorder="1" applyAlignment="1">
      <alignment horizontal="right" vertical="center"/>
    </xf>
    <xf numFmtId="169" fontId="0" fillId="13" borderId="0" xfId="7" applyNumberFormat="1" applyFont="1" applyFill="1" applyAlignment="1">
      <alignment vertical="center"/>
    </xf>
    <xf numFmtId="169" fontId="6" fillId="0" borderId="0" xfId="7" applyNumberFormat="1" applyFont="1" applyFill="1" applyAlignment="1">
      <alignment horizontal="right" vertical="center"/>
    </xf>
    <xf numFmtId="169" fontId="6" fillId="6" borderId="0" xfId="7" applyNumberFormat="1" applyFont="1" applyFill="1" applyAlignment="1">
      <alignment horizontal="right" vertical="center"/>
    </xf>
    <xf numFmtId="169" fontId="7" fillId="0" borderId="0" xfId="0" applyNumberFormat="1" applyFont="1" applyFill="1" applyAlignment="1">
      <alignment horizontal="right" vertical="center"/>
    </xf>
    <xf numFmtId="169" fontId="7" fillId="6" borderId="0" xfId="0" applyNumberFormat="1" applyFont="1" applyFill="1" applyAlignment="1">
      <alignment horizontal="right" vertical="center"/>
    </xf>
    <xf numFmtId="169" fontId="0" fillId="3" borderId="0" xfId="0" applyNumberFormat="1" applyFill="1" applyAlignment="1">
      <alignment horizontal="right" vertical="center"/>
    </xf>
    <xf numFmtId="169" fontId="0" fillId="11" borderId="0" xfId="0" applyNumberFormat="1" applyFill="1" applyAlignment="1">
      <alignment horizontal="right" vertical="center"/>
    </xf>
    <xf numFmtId="169" fontId="0" fillId="7" borderId="0" xfId="0" applyNumberFormat="1" applyFill="1" applyAlignment="1">
      <alignment horizontal="right" vertical="center"/>
    </xf>
    <xf numFmtId="169" fontId="0" fillId="6" borderId="0" xfId="0" applyNumberFormat="1" applyFill="1" applyAlignment="1">
      <alignment horizontal="right" vertical="center"/>
    </xf>
    <xf numFmtId="169" fontId="0" fillId="0" borderId="0" xfId="0" applyNumberFormat="1" applyFill="1" applyAlignment="1">
      <alignment horizontal="right" vertical="center"/>
    </xf>
    <xf numFmtId="169" fontId="0" fillId="8" borderId="0" xfId="0" applyNumberFormat="1" applyFill="1" applyAlignment="1">
      <alignment horizontal="right" vertical="center"/>
    </xf>
    <xf numFmtId="169" fontId="0" fillId="12" borderId="0" xfId="0" applyNumberFormat="1" applyFill="1" applyAlignment="1">
      <alignment horizontal="right" vertical="center"/>
    </xf>
    <xf numFmtId="169" fontId="10" fillId="10" borderId="0" xfId="0" applyNumberFormat="1" applyFont="1" applyFill="1" applyAlignment="1">
      <alignment horizontal="right" vertical="center"/>
    </xf>
    <xf numFmtId="169" fontId="10" fillId="9" borderId="0" xfId="0" applyNumberFormat="1" applyFont="1" applyFill="1" applyAlignment="1">
      <alignment horizontal="right" vertical="center"/>
    </xf>
    <xf numFmtId="0" fontId="0" fillId="0" borderId="0" xfId="0" applyFill="1" applyAlignment="1"/>
    <xf numFmtId="0" fontId="7" fillId="0" borderId="0" xfId="0" applyFont="1" applyFill="1" applyAlignment="1"/>
    <xf numFmtId="0" fontId="0" fillId="11" borderId="0" xfId="0" applyFill="1">
      <alignment vertical="center"/>
    </xf>
    <xf numFmtId="0" fontId="29" fillId="45" borderId="0" xfId="0" applyFont="1" applyFill="1" applyAlignment="1"/>
    <xf numFmtId="0" fontId="0" fillId="46" borderId="0" xfId="0" applyFill="1">
      <alignment vertical="center"/>
    </xf>
    <xf numFmtId="0" fontId="0" fillId="46" borderId="0" xfId="0" applyFill="1" applyAlignment="1"/>
    <xf numFmtId="0" fontId="0" fillId="46" borderId="0" xfId="0" applyFill="1" applyAlignment="1">
      <alignment horizontal="right" vertical="center"/>
    </xf>
    <xf numFmtId="0" fontId="5" fillId="46" borderId="0" xfId="1" applyFont="1" applyFill="1" applyAlignment="1"/>
    <xf numFmtId="0" fontId="6" fillId="6" borderId="0" xfId="0" applyFont="1" applyFill="1" applyAlignment="1">
      <alignment horizontal="left" vertical="center" indent="1"/>
    </xf>
    <xf numFmtId="0" fontId="7" fillId="6" borderId="0" xfId="0" applyFont="1" applyFill="1" applyAlignment="1">
      <alignment horizontal="left" vertical="center" indent="1"/>
    </xf>
    <xf numFmtId="0" fontId="0" fillId="46" borderId="10" xfId="0" applyFill="1" applyBorder="1">
      <alignment vertical="center"/>
    </xf>
    <xf numFmtId="0" fontId="5" fillId="46" borderId="0" xfId="1" applyFont="1" applyFill="1" applyAlignment="1">
      <alignment horizontal="center"/>
    </xf>
  </cellXfs>
  <cellStyles count="47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1" builtinId="16" customBuiltin="1"/>
    <cellStyle name="Encabezado 4" xfId="4" builtinId="19" hidden="1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5" builtinId="3" customBuiltin="1"/>
    <cellStyle name="Millares [0]" xfId="6" builtinId="6" customBuiltin="1"/>
    <cellStyle name="Moneda" xfId="7" builtinId="4" customBuiltin="1"/>
    <cellStyle name="Moneda [0]" xfId="8" builtinId="7" customBuiltin="1"/>
    <cellStyle name="Neutral" xfId="13" builtinId="28" customBuiltin="1"/>
    <cellStyle name="Normal" xfId="0" builtinId="0" customBuiltin="1"/>
    <cellStyle name="Notas" xfId="20" builtinId="10" customBuiltin="1"/>
    <cellStyle name="Porcentaje" xfId="9" builtinId="5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10" builtinId="15" customBuiltin="1"/>
    <cellStyle name="Título 2" xfId="2" builtinId="17" customBuiltin="1"/>
    <cellStyle name="Título 3" xfId="3" builtinId="18" customBuiltin="1"/>
    <cellStyle name="Total" xfId="22" builtinId="25" customBuiltin="1"/>
  </cellStyles>
  <dxfs count="827"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color rgb="FF9C0006"/>
      </font>
    </dxf>
    <dxf>
      <font>
        <color rgb="FF9C0006"/>
      </font>
    </dxf>
    <dxf>
      <font>
        <strike val="0"/>
        <outline val="0"/>
        <shadow val="0"/>
        <u val="none"/>
        <vertAlign val="baseline"/>
        <sz val="10"/>
        <color theme="0"/>
      </font>
      <numFmt numFmtId="170" formatCode="&quot;$&quot;#,##0.00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fill>
        <patternFill patternType="solid">
          <fgColor indexed="64"/>
          <bgColor theme="1"/>
        </patternFill>
      </fill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rgb="FFFFFFFF"/>
        <family val="2"/>
      </font>
      <fill>
        <patternFill patternType="solid">
          <fgColor rgb="FF000000"/>
          <bgColor rgb="FF000000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Gill Sans MT"/>
        <family val="2"/>
        <scheme val="major"/>
      </font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70" formatCode="&quot;$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border diagonalUp="0" diagonalDown="0">
        <left style="thick">
          <color theme="4"/>
        </left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70" formatCode="&quot;$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70" formatCode="&quot;$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70" formatCode="&quot;$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7999816888943144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70" formatCode="&quot;$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</dxf>
    <dxf>
      <numFmt numFmtId="169" formatCode="_-[$$-2C0A]\ * #,##0.00_-;\-[$$-2C0A]\ * #,##0.00_-;_-[$$-2C0A]\ * &quot;-&quot;??_-;_-@_-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border diagonalUp="0" diagonalDown="0">
        <left style="thick">
          <color theme="5"/>
        </left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fgColor rgb="FF000000"/>
          <bgColor rgb="FFFFFFFF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rgb="FF0E3E3F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rgb="FF0E3E3F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rgb="FF0E3D56"/>
        <name val="verdana"/>
        <family val="2"/>
        <scheme val="none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0"/>
      </font>
      <numFmt numFmtId="170" formatCode="&quot;$&quot;#,##0.00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9" formatCode="_-[$$-2C0A]\ * #,##0.00_-;\-[$$-2C0A]\ * #,##0.00_-;_-[$$-2C0A]\ * &quot;-&quot;??_-;_-@_-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fill>
        <patternFill patternType="solid">
          <fgColor indexed="64"/>
          <bgColor theme="1"/>
        </patternFill>
      </fill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family val="2"/>
      </font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Gill Sans MT"/>
        <family val="2"/>
        <scheme val="major"/>
      </font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70" formatCode="&quot;$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4" tint="0.59999389629810485"/>
        </patternFill>
      </fill>
    </dxf>
    <dxf>
      <numFmt numFmtId="169" formatCode="_-[$$-2C0A]\ * #,##0.00_-;\-[$$-2C0A]\ * #,##0.00_-;_-[$$-2C0A]\ * &quot;-&quot;??_-;_-@_-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border diagonalUp="0" diagonalDown="0">
        <left style="thick">
          <color theme="4"/>
        </left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0" formatCode="&quot;$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70" formatCode="&quot;$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70" formatCode="&quot;$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  <fill>
        <patternFill patternType="solid">
          <fgColor indexed="64"/>
          <bgColor theme="5" tint="0.7999816888943144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70" formatCode="&quot;$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8" formatCode="#,##0.00\ &quot;€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8" formatCode="#,##0.00\ &quot;€&quot;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9" formatCode="_-[$$-2C0A]\ * #,##0.00_-;\-[$$-2C0A]\ * #,##0.00_-;_-[$$-2C0A]\ * &quot;-&quot;??_-;_-@_-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  <fill>
        <patternFill patternType="solid">
          <fgColor indexed="64"/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theme="0"/>
        </patternFill>
      </fill>
    </dxf>
    <dxf>
      <fill>
        <patternFill patternType="none">
          <bgColor auto="1"/>
        </patternFill>
      </fill>
    </dxf>
    <dxf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9" formatCode="_-[$$-2C0A]\ * #,##0.00_-;\-[$$-2C0A]\ * #,##0.00_-;_-[$$-2C0A]\ * &quot;-&quot;??_-;_-@_-"/>
    </dxf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 val="0"/>
        <i val="0"/>
        <color theme="6" tint="-0.499984740745262"/>
      </font>
      <fill>
        <patternFill patternType="solid">
          <fgColor theme="6" tint="0.79998168889431442"/>
          <bgColor theme="6" tint="0.79998168889431442"/>
        </patternFill>
      </fill>
    </dxf>
    <dxf>
      <font>
        <b val="0"/>
        <i val="0"/>
        <color theme="6" tint="-0.499984740745262"/>
      </font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 val="0"/>
        <i val="0"/>
        <color theme="6" tint="-0.499984740745262"/>
      </font>
      <border>
        <top style="thin">
          <color theme="6" tint="-0.24994659260841701"/>
        </top>
      </border>
    </dxf>
    <dxf>
      <font>
        <b val="0"/>
        <i val="0"/>
        <color theme="6" tint="-0.499984740745262"/>
      </font>
      <border>
        <bottom style="thin">
          <color theme="6" tint="-0.24994659260841701"/>
        </bottom>
      </border>
    </dxf>
    <dxf>
      <font>
        <b val="0"/>
        <i val="0"/>
        <color theme="6" tint="-0.499984740745262"/>
      </font>
      <border>
        <top style="thin">
          <color theme="6" tint="-0.24994659260841701"/>
        </top>
        <bottom style="thin">
          <color theme="6" tint="-0.24994659260841701"/>
        </bottom>
      </border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 val="0"/>
        <i val="0"/>
        <color theme="5" tint="-0.499984740745262"/>
      </font>
      <fill>
        <patternFill patternType="solid">
          <fgColor theme="5" tint="0.79998168889431442"/>
          <bgColor theme="5" tint="0.79998168889431442"/>
        </patternFill>
      </fill>
    </dxf>
    <dxf>
      <font>
        <b val="0"/>
        <i val="0"/>
        <color theme="5" tint="-0.499984740745262"/>
      </font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/>
        <i val="0"/>
        <color theme="5" tint="-0.499984740745262"/>
      </font>
    </dxf>
    <dxf>
      <font>
        <b val="0"/>
        <i val="0"/>
        <color theme="5" tint="-0.499984740745262"/>
      </font>
      <border>
        <top style="thin">
          <color theme="5" tint="-0.24994659260841701"/>
        </top>
      </border>
    </dxf>
    <dxf>
      <font>
        <b val="0"/>
        <i val="0"/>
        <color theme="5" tint="-0.499984740745262"/>
      </font>
      <border>
        <bottom style="thin">
          <color theme="5" tint="-0.24994659260841701"/>
        </bottom>
      </border>
    </dxf>
    <dxf>
      <font>
        <b val="0"/>
        <i val="0"/>
        <color theme="5" tint="-0.499984740745262"/>
      </font>
      <border>
        <top style="thin">
          <color theme="5" tint="-0.24994659260841701"/>
        </top>
        <bottom style="thin">
          <color theme="5" tint="-0.24994659260841701"/>
        </bottom>
      </border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 val="0"/>
        <i val="0"/>
        <color theme="4" tint="-0.499984740745262"/>
      </font>
      <fill>
        <patternFill>
          <bgColor theme="4" tint="0.79998168889431442"/>
        </patternFill>
      </fill>
    </dxf>
    <dxf>
      <font>
        <b val="0"/>
        <i val="0"/>
        <color theme="4" tint="-0.499984740745262"/>
      </font>
      <fill>
        <patternFill patternType="solid">
          <fgColor theme="4" tint="0.79995117038483843"/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</dxf>
    <dxf>
      <font>
        <b val="0"/>
        <i val="0"/>
        <color theme="4" tint="-0.499984740745262"/>
      </font>
      <fill>
        <patternFill patternType="none">
          <bgColor auto="1"/>
        </patternFill>
      </fill>
      <border>
        <top style="thin">
          <color theme="4" tint="-0.24994659260841701"/>
        </top>
      </border>
    </dxf>
    <dxf>
      <border diagonalUp="0" diagonalDown="0">
        <left/>
        <right/>
        <top/>
        <bottom style="thin">
          <color theme="4" tint="-0.499984740745262"/>
        </bottom>
        <vertical/>
        <horizontal/>
      </border>
    </dxf>
    <dxf>
      <font>
        <b val="0"/>
        <i val="0"/>
        <color theme="4" tint="-0.499984740745262"/>
      </font>
      <border>
        <top style="thin">
          <color theme="4" tint="-0.24994659260841701"/>
        </top>
        <bottom style="thin">
          <color theme="4" tint="-0.24994659260841701"/>
        </bottom>
      </border>
    </dxf>
  </dxfs>
  <tableStyles count="3" defaultPivotStyle="PivotStyleLight16">
    <tableStyle name="Presupuesto personal - ingresos" pivot="0" count="9" xr9:uid="{00000000-0011-0000-FFFF-FFFF00000000}">
      <tableStyleElement type="wholeTable" dxfId="826"/>
      <tableStyleElement type="headerRow" dxfId="825"/>
      <tableStyleElement type="totalRow" dxfId="824"/>
      <tableStyleElement type="firstColumn" dxfId="823"/>
      <tableStyleElement type="lastColumn" dxfId="822"/>
      <tableStyleElement type="firstRowStripe" dxfId="821"/>
      <tableStyleElement type="firstColumnStripe" dxfId="820"/>
      <tableStyleElement type="firstTotalCell" dxfId="819"/>
      <tableStyleElement type="lastTotalCell" dxfId="818"/>
    </tableStyle>
    <tableStyle name="Presupuesto personal - gastos" pivot="0" count="9" xr9:uid="{00000000-0011-0000-FFFF-FFFF01000000}">
      <tableStyleElement type="wholeTable" dxfId="817"/>
      <tableStyleElement type="headerRow" dxfId="816"/>
      <tableStyleElement type="totalRow" dxfId="815"/>
      <tableStyleElement type="firstColumn" dxfId="814"/>
      <tableStyleElement type="lastColumn" dxfId="813"/>
      <tableStyleElement type="firstRowStripe" dxfId="812"/>
      <tableStyleElement type="firstColumnStripe" dxfId="811"/>
      <tableStyleElement type="firstTotalCell" dxfId="810"/>
      <tableStyleElement type="lastTotalCell" dxfId="809"/>
    </tableStyle>
    <tableStyle name="Presupuesto personal: total" pivot="0" count="9" xr9:uid="{00000000-0011-0000-FFFF-FFFF02000000}">
      <tableStyleElement type="wholeTable" dxfId="808"/>
      <tableStyleElement type="headerRow" dxfId="807"/>
      <tableStyleElement type="totalRow" dxfId="806"/>
      <tableStyleElement type="firstColumn" dxfId="805"/>
      <tableStyleElement type="lastColumn" dxfId="804"/>
      <tableStyleElement type="firstRowStripe" dxfId="803"/>
      <tableStyleElement type="firstColumnStripe" dxfId="802"/>
      <tableStyleElement type="firstTotalCell" dxfId="801"/>
      <tableStyleElement type="lastTotalCell" dxfId="800"/>
    </tableStyle>
  </tableStyles>
  <colors>
    <mruColors>
      <color rgb="FF2A3B4E"/>
      <color rgb="FF0BFEE1"/>
      <color rgb="FFF7F7F7"/>
      <color rgb="FFF3F8FF"/>
      <color rgb="FFE6F8FA"/>
      <color rgb="FFEFF5FF"/>
      <color rgb="FFD6E8F6"/>
      <color rgb="FFE6EF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831453</xdr:colOff>
      <xdr:row>1</xdr:row>
      <xdr:rowOff>84953</xdr:rowOff>
    </xdr:from>
    <xdr:to>
      <xdr:col>16</xdr:col>
      <xdr:colOff>821531</xdr:colOff>
      <xdr:row>1</xdr:row>
      <xdr:rowOff>350838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38DB6D2F-4C80-408C-A4C7-B9C2F6BEA823}"/>
            </a:ext>
          </a:extLst>
        </xdr:cNvPr>
        <xdr:cNvSpPr/>
      </xdr:nvSpPr>
      <xdr:spPr>
        <a:xfrm flipH="1">
          <a:off x="17785953" y="1188266"/>
          <a:ext cx="1029891" cy="265885"/>
        </a:xfrm>
        <a:prstGeom prst="roundRect">
          <a:avLst/>
        </a:prstGeom>
        <a:solidFill>
          <a:srgbClr val="2A3B4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s" sz="1200" b="1">
              <a:latin typeface="verdana" panose="020B0604030504040204" pitchFamily="34" charset="0"/>
            </a:rPr>
            <a:t>2024</a:t>
          </a:r>
        </a:p>
      </xdr:txBody>
    </xdr:sp>
    <xdr:clientData/>
  </xdr:twoCellAnchor>
  <xdr:twoCellAnchor>
    <xdr:from>
      <xdr:col>2</xdr:col>
      <xdr:colOff>436775</xdr:colOff>
      <xdr:row>0</xdr:row>
      <xdr:rowOff>273579</xdr:rowOff>
    </xdr:from>
    <xdr:to>
      <xdr:col>3</xdr:col>
      <xdr:colOff>428626</xdr:colOff>
      <xdr:row>0</xdr:row>
      <xdr:rowOff>845079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EC6B8404-9DE8-4D5E-B114-1BA7FBB76595}"/>
            </a:ext>
          </a:extLst>
        </xdr:cNvPr>
        <xdr:cNvSpPr txBox="1"/>
      </xdr:nvSpPr>
      <xdr:spPr>
        <a:xfrm>
          <a:off x="857463" y="273579"/>
          <a:ext cx="3873288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AR" sz="2400" b="1" i="0">
              <a:solidFill>
                <a:schemeClr val="bg1"/>
              </a:solidFill>
              <a:latin typeface="SF Pro Display" panose="00000900000000000000" pitchFamily="2" charset="0"/>
              <a:ea typeface="SF Pro Display" panose="00000900000000000000" pitchFamily="2" charset="0"/>
              <a:cs typeface="Lato Black" panose="020F0502020204030203" pitchFamily="34" charset="0"/>
            </a:rPr>
            <a:t>Presupuesto Personal</a:t>
          </a:r>
        </a:p>
      </xdr:txBody>
    </xdr:sp>
    <xdr:clientData/>
  </xdr:twoCellAnchor>
  <xdr:twoCellAnchor editAs="oneCell">
    <xdr:from>
      <xdr:col>0</xdr:col>
      <xdr:colOff>190501</xdr:colOff>
      <xdr:row>0</xdr:row>
      <xdr:rowOff>222250</xdr:rowOff>
    </xdr:from>
    <xdr:to>
      <xdr:col>2</xdr:col>
      <xdr:colOff>396876</xdr:colOff>
      <xdr:row>0</xdr:row>
      <xdr:rowOff>849313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315B86-6BBC-16B2-483B-B06862613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222250"/>
          <a:ext cx="627063" cy="627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1006078</xdr:colOff>
      <xdr:row>1</xdr:row>
      <xdr:rowOff>84953</xdr:rowOff>
    </xdr:from>
    <xdr:to>
      <xdr:col>16</xdr:col>
      <xdr:colOff>996156</xdr:colOff>
      <xdr:row>1</xdr:row>
      <xdr:rowOff>350838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C9DA551C-2DEE-4983-BAE2-370B9A32BB85}"/>
            </a:ext>
          </a:extLst>
        </xdr:cNvPr>
        <xdr:cNvSpPr/>
      </xdr:nvSpPr>
      <xdr:spPr>
        <a:xfrm flipH="1">
          <a:off x="17739598" y="1189853"/>
          <a:ext cx="1026398" cy="265885"/>
        </a:xfrm>
        <a:prstGeom prst="roundRect">
          <a:avLst/>
        </a:prstGeom>
        <a:solidFill>
          <a:srgbClr val="2A3B4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s" sz="1200" b="1">
              <a:latin typeface="verdana" panose="020B0604030504040204" pitchFamily="34" charset="0"/>
            </a:rPr>
            <a:t>2024</a:t>
          </a:r>
        </a:p>
      </xdr:txBody>
    </xdr:sp>
    <xdr:clientData/>
  </xdr:twoCellAnchor>
  <xdr:twoCellAnchor>
    <xdr:from>
      <xdr:col>2</xdr:col>
      <xdr:colOff>436775</xdr:colOff>
      <xdr:row>0</xdr:row>
      <xdr:rowOff>273579</xdr:rowOff>
    </xdr:from>
    <xdr:to>
      <xdr:col>3</xdr:col>
      <xdr:colOff>428626</xdr:colOff>
      <xdr:row>0</xdr:row>
      <xdr:rowOff>845079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62AA967C-193B-45EE-AB8C-FE5D0B1660E5}"/>
            </a:ext>
          </a:extLst>
        </xdr:cNvPr>
        <xdr:cNvSpPr txBox="1"/>
      </xdr:nvSpPr>
      <xdr:spPr>
        <a:xfrm>
          <a:off x="855875" y="273579"/>
          <a:ext cx="3870431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AR" sz="2400" b="1" i="0">
              <a:solidFill>
                <a:schemeClr val="bg1"/>
              </a:solidFill>
              <a:latin typeface="SF Pro Display" panose="00000900000000000000" pitchFamily="2" charset="0"/>
              <a:ea typeface="SF Pro Display" panose="00000900000000000000" pitchFamily="2" charset="0"/>
              <a:cs typeface="Lato Black" panose="020F0502020204030203" pitchFamily="34" charset="0"/>
            </a:rPr>
            <a:t>Presupuesto Personal</a:t>
          </a:r>
        </a:p>
      </xdr:txBody>
    </xdr:sp>
    <xdr:clientData/>
  </xdr:twoCellAnchor>
  <xdr:twoCellAnchor editAs="oneCell">
    <xdr:from>
      <xdr:col>0</xdr:col>
      <xdr:colOff>190501</xdr:colOff>
      <xdr:row>0</xdr:row>
      <xdr:rowOff>222250</xdr:rowOff>
    </xdr:from>
    <xdr:to>
      <xdr:col>2</xdr:col>
      <xdr:colOff>396876</xdr:colOff>
      <xdr:row>0</xdr:row>
      <xdr:rowOff>849313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51CB18-098B-43B7-96A8-68E1A2288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222250"/>
          <a:ext cx="625475" cy="6270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Income" displayName="tblIncome" ref="C6:Q10" totalsRowCount="1" headerRowDxfId="799" dataDxfId="798" totalsRowDxfId="797">
  <autoFilter ref="C6:Q9" xr:uid="{00000000-0009-0000-0100-000001000000}"/>
  <tableColumns count="15">
    <tableColumn id="1" xr3:uid="{00000000-0010-0000-0000-000001000000}" name="INGRESOS" totalsRowLabel="Total" totalsRowDxfId="29"/>
    <tableColumn id="2" xr3:uid="{00000000-0010-0000-0000-000002000000}" name="Ene" totalsRowFunction="sum" dataDxfId="796" totalsRowDxfId="28" dataCellStyle="Moneda" totalsRowCellStyle="Moneda"/>
    <tableColumn id="3" xr3:uid="{00000000-0010-0000-0000-000003000000}" name="Feb" totalsRowFunction="sum" dataDxfId="795" totalsRowDxfId="27" dataCellStyle="Moneda" totalsRowCellStyle="Moneda"/>
    <tableColumn id="4" xr3:uid="{00000000-0010-0000-0000-000004000000}" name="Marzo" totalsRowFunction="sum" dataDxfId="794" totalsRowDxfId="26" dataCellStyle="Moneda" totalsRowCellStyle="Moneda"/>
    <tableColumn id="5" xr3:uid="{00000000-0010-0000-0000-000005000000}" name="Abril" totalsRowFunction="sum" dataDxfId="793" totalsRowDxfId="25" dataCellStyle="Moneda" totalsRowCellStyle="Moneda"/>
    <tableColumn id="6" xr3:uid="{00000000-0010-0000-0000-000006000000}" name="Mayo" totalsRowFunction="sum" dataDxfId="792" totalsRowDxfId="24" dataCellStyle="Moneda" totalsRowCellStyle="Moneda"/>
    <tableColumn id="7" xr3:uid="{00000000-0010-0000-0000-000007000000}" name="Junio" totalsRowFunction="sum" dataDxfId="791" totalsRowDxfId="23" dataCellStyle="Moneda" totalsRowCellStyle="Moneda"/>
    <tableColumn id="8" xr3:uid="{00000000-0010-0000-0000-000008000000}" name="Julio" totalsRowFunction="sum" dataDxfId="790" totalsRowDxfId="22" dataCellStyle="Moneda" totalsRowCellStyle="Moneda"/>
    <tableColumn id="9" xr3:uid="{00000000-0010-0000-0000-000009000000}" name="Ago" totalsRowFunction="sum" dataDxfId="789" totalsRowDxfId="21" dataCellStyle="Moneda" totalsRowCellStyle="Moneda"/>
    <tableColumn id="10" xr3:uid="{00000000-0010-0000-0000-00000A000000}" name="Sept" totalsRowFunction="sum" dataDxfId="788" totalsRowDxfId="20" dataCellStyle="Moneda" totalsRowCellStyle="Moneda"/>
    <tableColumn id="11" xr3:uid="{00000000-0010-0000-0000-00000B000000}" name="Oct" totalsRowFunction="sum" dataDxfId="787" totalsRowDxfId="19" dataCellStyle="Moneda" totalsRowCellStyle="Moneda"/>
    <tableColumn id="12" xr3:uid="{00000000-0010-0000-0000-00000C000000}" name="Nov" totalsRowFunction="sum" dataDxfId="786" totalsRowDxfId="18" dataCellStyle="Moneda" totalsRowCellStyle="Moneda"/>
    <tableColumn id="13" xr3:uid="{00000000-0010-0000-0000-00000D000000}" name="Dic" totalsRowFunction="sum" dataDxfId="785" totalsRowDxfId="17" dataCellStyle="Moneda" totalsRowCellStyle="Moneda"/>
    <tableColumn id="14" xr3:uid="{00000000-0010-0000-0000-00000E000000}" name="Año" totalsRowFunction="sum" dataDxfId="784" totalsRowDxfId="16" dataCellStyle="Moneda" totalsRowCellStyle="Moneda">
      <calculatedColumnFormula>SUM(tblIncome[[#This Row],[Ene]:[Dic]])</calculatedColumnFormula>
    </tableColumn>
    <tableColumn id="15" xr3:uid="{00000000-0010-0000-0000-00000F000000}" name="Columna1" dataDxfId="783" totalsRowDxfId="15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Income" altTextSummary="Escriba sus ingresos para el año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blPersonal" displayName="tblPersonal" ref="C100:Q106" totalsRowCount="1" headerRowDxfId="605" dataDxfId="604" totalsRowDxfId="603">
  <autoFilter ref="C100:Q105" xr:uid="{00000000-0009-0000-0100-00000A000000}"/>
  <tableColumns count="15">
    <tableColumn id="1" xr3:uid="{00000000-0010-0000-0900-000001000000}" name="Personal" totalsRowLabel="Total" dataDxfId="602" totalsRowDxfId="601"/>
    <tableColumn id="2" xr3:uid="{00000000-0010-0000-0900-000002000000}" name="Ene" totalsRowFunction="sum" dataDxfId="600" totalsRowDxfId="599"/>
    <tableColumn id="3" xr3:uid="{00000000-0010-0000-0900-000003000000}" name="Feb" totalsRowFunction="sum" dataDxfId="598" totalsRowDxfId="597"/>
    <tableColumn id="4" xr3:uid="{00000000-0010-0000-0900-000004000000}" name="Marzo" totalsRowFunction="sum" dataDxfId="596" totalsRowDxfId="595"/>
    <tableColumn id="5" xr3:uid="{00000000-0010-0000-0900-000005000000}" name="Abril" totalsRowFunction="sum" dataDxfId="594" totalsRowDxfId="593"/>
    <tableColumn id="6" xr3:uid="{00000000-0010-0000-0900-000006000000}" name="Mayo" totalsRowFunction="sum" dataDxfId="592" totalsRowDxfId="591"/>
    <tableColumn id="7" xr3:uid="{00000000-0010-0000-0900-000007000000}" name="Junio" totalsRowFunction="sum" dataDxfId="590" totalsRowDxfId="589"/>
    <tableColumn id="8" xr3:uid="{00000000-0010-0000-0900-000008000000}" name="Julio" totalsRowFunction="sum" dataDxfId="588" totalsRowDxfId="587"/>
    <tableColumn id="9" xr3:uid="{00000000-0010-0000-0900-000009000000}" name="Ago" totalsRowFunction="sum" dataDxfId="586" totalsRowDxfId="585"/>
    <tableColumn id="10" xr3:uid="{00000000-0010-0000-0900-00000A000000}" name="Sept" totalsRowFunction="sum" dataDxfId="584" totalsRowDxfId="583"/>
    <tableColumn id="11" xr3:uid="{00000000-0010-0000-0900-00000B000000}" name="Oct" totalsRowFunction="sum" dataDxfId="582" totalsRowDxfId="581"/>
    <tableColumn id="12" xr3:uid="{00000000-0010-0000-0900-00000C000000}" name="Nov" totalsRowFunction="sum" dataDxfId="580" totalsRowDxfId="579"/>
    <tableColumn id="13" xr3:uid="{00000000-0010-0000-0900-00000D000000}" name="Dic" totalsRowFunction="sum" dataDxfId="578" totalsRowDxfId="577"/>
    <tableColumn id="14" xr3:uid="{00000000-0010-0000-0900-00000E000000}" name="Año" totalsRowFunction="sum" dataDxfId="576" totalsRowDxfId="575">
      <calculatedColumnFormula>SUM(tblPersonal[[#This Row],[Ene]:[Dic]])</calculatedColumnFormula>
    </tableColumn>
    <tableColumn id="15" xr3:uid="{00000000-0010-0000-0900-00000F000000}" name="Columna1" dataDxfId="574" totalsRowDxfId="573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Personal Expenses" altTextSummary="Escriba sus gastos personales para el año, separados por meses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blFinancial" displayName="tblFinancial" ref="C110:Q116" totalsRowCount="1" headerRowDxfId="572" dataDxfId="571" totalsRowDxfId="570">
  <autoFilter ref="C110:Q115" xr:uid="{00000000-0009-0000-0100-00000B000000}"/>
  <tableColumns count="15">
    <tableColumn id="1" xr3:uid="{00000000-0010-0000-0A00-000001000000}" name="Obligaciones financieras" totalsRowLabel="Total" dataDxfId="569" totalsRowDxfId="14"/>
    <tableColumn id="2" xr3:uid="{00000000-0010-0000-0A00-000002000000}" name="Ene" totalsRowFunction="sum" dataDxfId="568" totalsRowDxfId="13"/>
    <tableColumn id="3" xr3:uid="{00000000-0010-0000-0A00-000003000000}" name="Feb" totalsRowFunction="sum" dataDxfId="567" totalsRowDxfId="12"/>
    <tableColumn id="4" xr3:uid="{00000000-0010-0000-0A00-000004000000}" name="Marzo" totalsRowFunction="sum" dataDxfId="566" totalsRowDxfId="11"/>
    <tableColumn id="5" xr3:uid="{00000000-0010-0000-0A00-000005000000}" name="Abril" totalsRowFunction="sum" dataDxfId="565" totalsRowDxfId="10"/>
    <tableColumn id="6" xr3:uid="{00000000-0010-0000-0A00-000006000000}" name="Mayo" totalsRowFunction="sum" dataDxfId="564" totalsRowDxfId="9"/>
    <tableColumn id="7" xr3:uid="{00000000-0010-0000-0A00-000007000000}" name="Junio" totalsRowFunction="sum" dataDxfId="563" totalsRowDxfId="8"/>
    <tableColumn id="8" xr3:uid="{00000000-0010-0000-0A00-000008000000}" name="Julio" totalsRowFunction="sum" dataDxfId="562" totalsRowDxfId="7"/>
    <tableColumn id="9" xr3:uid="{00000000-0010-0000-0A00-000009000000}" name="Ago" totalsRowFunction="sum" dataDxfId="561" totalsRowDxfId="6"/>
    <tableColumn id="10" xr3:uid="{00000000-0010-0000-0A00-00000A000000}" name="Sept" totalsRowFunction="sum" dataDxfId="560" totalsRowDxfId="5"/>
    <tableColumn id="11" xr3:uid="{00000000-0010-0000-0A00-00000B000000}" name="Oct" totalsRowFunction="sum" dataDxfId="559" totalsRowDxfId="4"/>
    <tableColumn id="12" xr3:uid="{00000000-0010-0000-0A00-00000C000000}" name="Nov" totalsRowFunction="sum" dataDxfId="558" totalsRowDxfId="3"/>
    <tableColumn id="13" xr3:uid="{00000000-0010-0000-0A00-00000D000000}" name="Dic" totalsRowFunction="sum" dataDxfId="557" totalsRowDxfId="2"/>
    <tableColumn id="14" xr3:uid="{00000000-0010-0000-0A00-00000E000000}" name="Año" totalsRowFunction="sum" dataDxfId="556" totalsRowDxfId="1">
      <calculatedColumnFormula>SUM(tblFinancial[[#This Row],[Ene]:[Dic]])</calculatedColumnFormula>
    </tableColumn>
    <tableColumn id="15" xr3:uid="{00000000-0010-0000-0A00-00000F000000}" name="Columna1" dataDxfId="555" totalsRowDxfId="0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Financial Expenses" altTextSummary="Escriba los gastos financieros para el año, separados por meses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blMisc" displayName="tblMisc" ref="C120:Q126" totalsRowCount="1" headerRowDxfId="554" dataDxfId="553" totalsRowDxfId="552">
  <autoFilter ref="C120:Q125" xr:uid="{00000000-0009-0000-0100-00000C000000}"/>
  <tableColumns count="15">
    <tableColumn id="1" xr3:uid="{00000000-0010-0000-0B00-000001000000}" name="Pagos varios" totalsRowLabel="Total" totalsRowDxfId="551"/>
    <tableColumn id="2" xr3:uid="{00000000-0010-0000-0B00-000002000000}" name="Ene" totalsRowFunction="sum" dataDxfId="550" totalsRowDxfId="549"/>
    <tableColumn id="3" xr3:uid="{00000000-0010-0000-0B00-000003000000}" name="Feb" totalsRowFunction="sum" dataDxfId="548" totalsRowDxfId="547"/>
    <tableColumn id="4" xr3:uid="{00000000-0010-0000-0B00-000004000000}" name="Marzo" totalsRowFunction="sum" dataDxfId="546" totalsRowDxfId="545"/>
    <tableColumn id="5" xr3:uid="{00000000-0010-0000-0B00-000005000000}" name="Abril" totalsRowFunction="sum" dataDxfId="544" totalsRowDxfId="543"/>
    <tableColumn id="6" xr3:uid="{00000000-0010-0000-0B00-000006000000}" name="Mayo" totalsRowFunction="sum" dataDxfId="542" totalsRowDxfId="541"/>
    <tableColumn id="7" xr3:uid="{00000000-0010-0000-0B00-000007000000}" name="Junio" totalsRowFunction="sum" dataDxfId="540" totalsRowDxfId="539"/>
    <tableColumn id="8" xr3:uid="{00000000-0010-0000-0B00-000008000000}" name="Julio" totalsRowFunction="sum" dataDxfId="538" totalsRowDxfId="537"/>
    <tableColumn id="9" xr3:uid="{00000000-0010-0000-0B00-000009000000}" name="Ago" totalsRowFunction="sum" dataDxfId="536" totalsRowDxfId="535"/>
    <tableColumn id="10" xr3:uid="{00000000-0010-0000-0B00-00000A000000}" name="Sept" totalsRowFunction="sum" dataDxfId="534" totalsRowDxfId="533"/>
    <tableColumn id="11" xr3:uid="{00000000-0010-0000-0B00-00000B000000}" name="Oct" totalsRowFunction="sum" dataDxfId="532" totalsRowDxfId="531"/>
    <tableColumn id="12" xr3:uid="{00000000-0010-0000-0B00-00000C000000}" name="Nov" totalsRowFunction="sum" dataDxfId="530" totalsRowDxfId="529"/>
    <tableColumn id="13" xr3:uid="{00000000-0010-0000-0B00-00000D000000}" name="Dic" totalsRowFunction="sum" dataDxfId="528" totalsRowDxfId="527"/>
    <tableColumn id="14" xr3:uid="{00000000-0010-0000-0B00-00000E000000}" name="Año" totalsRowFunction="sum" dataDxfId="526" totalsRowDxfId="525">
      <calculatedColumnFormula>SUM(tblMisc[[#This Row],[Ene]:[Dic]])</calculatedColumnFormula>
    </tableColumn>
    <tableColumn id="15" xr3:uid="{00000000-0010-0000-0B00-00000F000000}" name="Columna1" dataDxfId="524" totalsRowDxfId="523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Misc Expenses" altTextSummary="Escriba los gastos varios para el año, separados por meses.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blTotals" displayName="tblTotals" ref="C129:Q131" totalsRowShown="0" headerRowDxfId="522" dataDxfId="521">
  <tableColumns count="15">
    <tableColumn id="1" xr3:uid="{00000000-0010-0000-0C00-000001000000}" name="TOTALES" dataDxfId="520"/>
    <tableColumn id="2" xr3:uid="{00000000-0010-0000-0C00-000002000000}" name="ENE" dataDxfId="519">
      <calculatedColumnFormula>tblIncome[[#Totals],[Ene]]-D129</calculatedColumnFormula>
    </tableColumn>
    <tableColumn id="3" xr3:uid="{00000000-0010-0000-0C00-000003000000}" name="FEB" dataDxfId="518">
      <calculatedColumnFormula>tblIncome[[#Totals],[Feb]]-E129</calculatedColumnFormula>
    </tableColumn>
    <tableColumn id="4" xr3:uid="{00000000-0010-0000-0C00-000004000000}" name="MAR" dataDxfId="517">
      <calculatedColumnFormula>tblIncome[[#Totals],[Marzo]]-F129</calculatedColumnFormula>
    </tableColumn>
    <tableColumn id="5" xr3:uid="{00000000-0010-0000-0C00-000005000000}" name="ABR" dataDxfId="516">
      <calculatedColumnFormula>tblIncome[[#Totals],[Abril]]-G129</calculatedColumnFormula>
    </tableColumn>
    <tableColumn id="6" xr3:uid="{00000000-0010-0000-0C00-000006000000}" name="MAYO" dataDxfId="515">
      <calculatedColumnFormula>tblIncome[[#Totals],[Mayo]]-H129</calculatedColumnFormula>
    </tableColumn>
    <tableColumn id="7" xr3:uid="{00000000-0010-0000-0C00-000007000000}" name="JUN" dataDxfId="514">
      <calculatedColumnFormula>tblIncome[[#Totals],[Junio]]-I129</calculatedColumnFormula>
    </tableColumn>
    <tableColumn id="8" xr3:uid="{00000000-0010-0000-0C00-000008000000}" name="JUL" dataDxfId="513">
      <calculatedColumnFormula>tblIncome[[#Totals],[Julio]]-J129</calculatedColumnFormula>
    </tableColumn>
    <tableColumn id="9" xr3:uid="{00000000-0010-0000-0C00-000009000000}" name="AGO" dataDxfId="512">
      <calculatedColumnFormula>tblIncome[[#Totals],[Ago]]-K129</calculatedColumnFormula>
    </tableColumn>
    <tableColumn id="10" xr3:uid="{00000000-0010-0000-0C00-00000A000000}" name="SEP" dataDxfId="511">
      <calculatedColumnFormula>tblIncome[[#Totals],[Sept]]-L129</calculatedColumnFormula>
    </tableColumn>
    <tableColumn id="11" xr3:uid="{00000000-0010-0000-0C00-00000B000000}" name="OCT" dataDxfId="510">
      <calculatedColumnFormula>tblIncome[[#Totals],[Oct]]-M129</calculatedColumnFormula>
    </tableColumn>
    <tableColumn id="12" xr3:uid="{00000000-0010-0000-0C00-00000C000000}" name="NOV" dataDxfId="509">
      <calculatedColumnFormula>tblIncome[[#Totals],[Nov]]-N129</calculatedColumnFormula>
    </tableColumn>
    <tableColumn id="13" xr3:uid="{00000000-0010-0000-0C00-00000D000000}" name="DIC" dataDxfId="508">
      <calculatedColumnFormula>tblIncome[[#Totals],[Dic]]-O129</calculatedColumnFormula>
    </tableColumn>
    <tableColumn id="14" xr3:uid="{00000000-0010-0000-0C00-00000E000000}" name="AÑO" dataDxfId="507">
      <calculatedColumnFormula>tblIncome[[#Totals],[Año]]-P129</calculatedColumnFormula>
    </tableColumn>
    <tableColumn id="15" xr3:uid="{00000000-0010-0000-0C00-00000F000000}" name=" " dataDxfId="506"/>
  </tableColumns>
  <tableStyleInfo showFirstColumn="1" showLastColumn="0" showRowStripes="0" showColumnStripes="1"/>
  <extLst>
    <ext xmlns:x14="http://schemas.microsoft.com/office/spreadsheetml/2009/9/main" uri="{504A1905-F514-4f6f-8877-14C23A59335A}">
      <x14:table altText="Totals" altTextSummary="Vea los totales para el año, separados por meses.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B87274D-D093-4D3D-8C8B-ED70B317DA74}" name="tblIncome15" displayName="tblIncome15" ref="C6:Q10" totalsRowCount="1" headerRowDxfId="505" dataDxfId="504" totalsRowDxfId="503">
  <autoFilter ref="C6:Q9" xr:uid="{00000000-0009-0000-0100-000001000000}"/>
  <tableColumns count="15">
    <tableColumn id="1" xr3:uid="{E561C9D2-0836-49D6-A0B6-C6D59E78753B}" name="INGRESOS" totalsRowLabel="Total" totalsRowDxfId="502"/>
    <tableColumn id="2" xr3:uid="{394186C3-EFF2-4050-A348-DC8443BB78E2}" name="Ene" totalsRowFunction="sum" dataDxfId="501" totalsRowDxfId="500" dataCellStyle="Moneda" totalsRowCellStyle="Moneda"/>
    <tableColumn id="3" xr3:uid="{C05E1923-6020-4FBC-8AF8-5916D37F0225}" name="Feb" totalsRowFunction="sum" dataDxfId="499" totalsRowDxfId="498" dataCellStyle="Moneda" totalsRowCellStyle="Moneda"/>
    <tableColumn id="4" xr3:uid="{6684A35D-5085-42E5-840D-9B21E5928A16}" name="Marzo" totalsRowFunction="sum" dataDxfId="497" totalsRowDxfId="496" dataCellStyle="Moneda" totalsRowCellStyle="Moneda"/>
    <tableColumn id="5" xr3:uid="{EADE2E32-81A6-4A8C-A66E-BE2B725FB590}" name="Abril" totalsRowFunction="sum" dataDxfId="495" totalsRowDxfId="494" dataCellStyle="Moneda" totalsRowCellStyle="Moneda"/>
    <tableColumn id="6" xr3:uid="{733856A9-24B3-47F1-B686-CC413CDD4EA2}" name="Mayo" totalsRowFunction="sum" dataDxfId="493" totalsRowDxfId="492" dataCellStyle="Moneda" totalsRowCellStyle="Moneda"/>
    <tableColumn id="7" xr3:uid="{FBE184AB-FD5F-4A61-91C5-EB698429FFE5}" name="Junio" totalsRowFunction="sum" dataDxfId="491" totalsRowDxfId="490" dataCellStyle="Moneda" totalsRowCellStyle="Moneda"/>
    <tableColumn id="8" xr3:uid="{E9F7B543-BF62-4DDC-8578-18BF04858DCB}" name="Julio" totalsRowFunction="sum" dataDxfId="489" totalsRowDxfId="488" dataCellStyle="Moneda" totalsRowCellStyle="Moneda"/>
    <tableColumn id="9" xr3:uid="{9CC0C5B7-55C7-4AB8-8552-3669E6F1E31C}" name="Ago" totalsRowFunction="sum" dataDxfId="487" totalsRowDxfId="486" dataCellStyle="Moneda" totalsRowCellStyle="Moneda"/>
    <tableColumn id="10" xr3:uid="{F019AE51-FD08-4638-8936-1CF7CEBBE8D0}" name="Sept" totalsRowFunction="sum" dataDxfId="485" totalsRowDxfId="484" dataCellStyle="Moneda" totalsRowCellStyle="Moneda"/>
    <tableColumn id="11" xr3:uid="{841E58B0-C0DB-46F0-8FDF-296E048DBB02}" name="Oct" totalsRowFunction="sum" dataDxfId="483" totalsRowDxfId="482" dataCellStyle="Moneda" totalsRowCellStyle="Moneda"/>
    <tableColumn id="12" xr3:uid="{2759A603-9884-4A1C-A3BC-18F79B16DE1F}" name="Nov" totalsRowFunction="sum" dataDxfId="481" totalsRowDxfId="480" dataCellStyle="Moneda" totalsRowCellStyle="Moneda"/>
    <tableColumn id="13" xr3:uid="{93B315F7-365D-4A51-9671-85D02F528E85}" name="Dic" totalsRowFunction="sum" dataDxfId="479" totalsRowDxfId="478" dataCellStyle="Moneda" totalsRowCellStyle="Moneda"/>
    <tableColumn id="14" xr3:uid="{DD7340AE-1143-4328-975C-E6E069B83960}" name="Año" totalsRowFunction="sum" dataDxfId="477" totalsRowDxfId="476" dataCellStyle="Moneda" totalsRowCellStyle="Moneda">
      <calculatedColumnFormula>SUM(tblIncome15[[#This Row],[Ene]:[Dic]])</calculatedColumnFormula>
    </tableColumn>
    <tableColumn id="15" xr3:uid="{3D359CFB-6C65-4A0E-AF65-12C710A85A82}" name="Columna1" dataDxfId="475" totalsRowDxfId="474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Income" altTextSummary="Escriba sus ingresos para el año.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5ADAC2B-534B-47B2-AFB2-6A1363E3AEE1}" name="tblHome16" displayName="tblHome16" ref="C15:Q21" totalsRowCount="1" headerRowDxfId="473" dataDxfId="472" totalsRowDxfId="471">
  <autoFilter ref="C15:Q20" xr:uid="{00000000-0009-0000-0100-000002000000}"/>
  <tableColumns count="15">
    <tableColumn id="1" xr3:uid="{8B692B08-8584-46A3-B1F5-880CC44C7B30}" name="Casa" totalsRowLabel="Total" totalsRowDxfId="470"/>
    <tableColumn id="2" xr3:uid="{6D927645-E264-4A64-AB61-8C2690AAEB9B}" name="Ene" totalsRowFunction="sum" dataDxfId="469" totalsRowDxfId="468"/>
    <tableColumn id="3" xr3:uid="{29B93255-FB85-415E-8268-06630549D741}" name="Feb" totalsRowFunction="sum" dataDxfId="467" totalsRowDxfId="466"/>
    <tableColumn id="4" xr3:uid="{A6FA98A8-B8FD-460D-9598-8A4F0BB25DBB}" name="Marzo" totalsRowFunction="sum" dataDxfId="465" totalsRowDxfId="464"/>
    <tableColumn id="5" xr3:uid="{28FC623F-3106-4A97-A5CB-707C4D42B589}" name="Abril" totalsRowFunction="sum" dataDxfId="463" totalsRowDxfId="462"/>
    <tableColumn id="6" xr3:uid="{EFE035F4-FAB3-4176-AA96-965F6F29187E}" name="Mayo" totalsRowFunction="sum" dataDxfId="461" totalsRowDxfId="460"/>
    <tableColumn id="7" xr3:uid="{80899E3C-16F6-4DDE-B7BE-4481BE2F0CE9}" name="Junio" totalsRowFunction="sum" dataDxfId="459" totalsRowDxfId="458"/>
    <tableColumn id="8" xr3:uid="{961BD996-B9B7-45FF-A584-6B4CB7CA13FD}" name="Julio" totalsRowFunction="sum" dataDxfId="457" totalsRowDxfId="456"/>
    <tableColumn id="9" xr3:uid="{23FB1751-02B6-4E91-A5B3-E1CDDBC63431}" name="Ago" totalsRowFunction="sum" dataDxfId="455" totalsRowDxfId="454"/>
    <tableColumn id="10" xr3:uid="{6B50CC9D-3A90-4521-A009-12FC03E99145}" name="Sept" totalsRowFunction="sum" dataDxfId="453" totalsRowDxfId="452"/>
    <tableColumn id="11" xr3:uid="{3FC5FF88-154B-4FAC-BCEE-5298A076ED7A}" name="Oct" totalsRowFunction="sum" dataDxfId="451" totalsRowDxfId="450"/>
    <tableColumn id="12" xr3:uid="{36FAFBD5-4F1D-4191-9860-5FE51A8ADF08}" name="Nov" totalsRowFunction="sum" dataDxfId="449" totalsRowDxfId="448"/>
    <tableColumn id="13" xr3:uid="{3F6FBA66-94A0-43CD-B685-D789E20F1679}" name="Dic" totalsRowFunction="sum" dataDxfId="447" totalsRowDxfId="446"/>
    <tableColumn id="14" xr3:uid="{41436ADF-31F2-4E46-AA6F-8668C24DF899}" name="Año" totalsRowFunction="sum" dataDxfId="445" totalsRowDxfId="444">
      <calculatedColumnFormula>SUM(tblHome16[[#This Row],[Ene]:[Dic]])</calculatedColumnFormula>
    </tableColumn>
    <tableColumn id="15" xr3:uid="{ED4246A0-65C2-454F-8ED0-3C05E9A91902}" name="Columna1" totalsRowDxfId="443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Home Expenses" altTextSummary="Escriba los gastos del hogar para el año, separados por meses.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88E3998-DCA9-4DF5-B88F-FC4E41F631C6}" name="tblDaily17" displayName="tblDaily17" ref="C25:Q32" totalsRowCount="1" headerRowDxfId="442" dataDxfId="441" totalsRowDxfId="440">
  <autoFilter ref="C25:Q31" xr:uid="{00000000-0009-0000-0100-000003000000}"/>
  <tableColumns count="15">
    <tableColumn id="1" xr3:uid="{7154E38F-81BD-4665-B561-18E7F5142FE8}" name="Vida diaria" totalsRowLabel="Total" totalsRowDxfId="439"/>
    <tableColumn id="2" xr3:uid="{041F4607-EEB9-4BDF-9963-4330B6CFF66C}" name="Ene" totalsRowFunction="sum" dataDxfId="438" totalsRowDxfId="437"/>
    <tableColumn id="3" xr3:uid="{220F4342-2809-4F59-B5F1-692420299BE1}" name="Feb" totalsRowFunction="sum" dataDxfId="436" totalsRowDxfId="435"/>
    <tableColumn id="4" xr3:uid="{2CCE21E6-8427-4B2A-A339-5281C8090ED6}" name="Marzo" totalsRowFunction="sum" dataDxfId="434" totalsRowDxfId="433"/>
    <tableColumn id="5" xr3:uid="{B78EC9BB-7E4F-4B95-B6AC-5049FE278B10}" name="Abril" totalsRowFunction="sum" dataDxfId="432" totalsRowDxfId="431"/>
    <tableColumn id="6" xr3:uid="{29767FB3-423B-4C5D-979F-B94C8EDA0379}" name="Mayo" totalsRowFunction="sum" dataDxfId="430" totalsRowDxfId="429"/>
    <tableColumn id="7" xr3:uid="{358CE77A-4045-4BB8-8075-FA6ED34D73E7}" name="Junio" totalsRowFunction="sum" dataDxfId="428" totalsRowDxfId="427"/>
    <tableColumn id="8" xr3:uid="{322B61F4-1B7C-40E1-BA13-94F6AFFD1237}" name="Julio" totalsRowFunction="sum" dataDxfId="426" totalsRowDxfId="425"/>
    <tableColumn id="9" xr3:uid="{AA43F155-7357-4570-82DD-8F03287C4B9B}" name="Ago" totalsRowFunction="sum" dataDxfId="424" totalsRowDxfId="423"/>
    <tableColumn id="10" xr3:uid="{D2828973-3AFF-4F86-B438-68F9369E2EA8}" name="Sept" totalsRowFunction="sum" dataDxfId="422" totalsRowDxfId="421"/>
    <tableColumn id="11" xr3:uid="{B5E6F54F-BA0E-4C78-9541-E8CFA2F8169A}" name="Oct" totalsRowFunction="sum" dataDxfId="420" totalsRowDxfId="419"/>
    <tableColumn id="12" xr3:uid="{09E7F0F5-6BA1-46CA-ABE4-7044C3DF2545}" name="Nov" totalsRowFunction="sum" dataDxfId="418" totalsRowDxfId="417"/>
    <tableColumn id="13" xr3:uid="{BB135D5D-44FA-4FCD-891C-DBC323A5C42A}" name="Dic" totalsRowFunction="sum" dataDxfId="416" totalsRowDxfId="415"/>
    <tableColumn id="14" xr3:uid="{27367A9B-F393-402B-B863-7DACA796B6D8}" name="Año" totalsRowFunction="sum" dataDxfId="414" totalsRowDxfId="413">
      <calculatedColumnFormula>SUM(tblDaily17[[#This Row],[Ene]:[Dic]])</calculatedColumnFormula>
    </tableColumn>
    <tableColumn id="15" xr3:uid="{940B382C-39EF-4BD9-9BE2-21CBD955A290}" name="Columna1" totalsRowDxfId="412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Daily Living Expenses" altTextSummary="Escriba los gastos diarios para el año, separados por meses.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584E23B-4B4C-4CB8-8304-BFC9615F9FF7}" name="tblTransportation18" displayName="tblTransportation18" ref="C36:Q43" totalsRowCount="1" headerRowDxfId="411" dataDxfId="410" totalsRowDxfId="409">
  <autoFilter ref="C36:Q42" xr:uid="{00000000-0009-0000-0100-000004000000}"/>
  <tableColumns count="15">
    <tableColumn id="1" xr3:uid="{FBA98ECF-2E6B-4180-A047-2CEB1B6B1CEF}" name="Transporte" totalsRowLabel="Total" totalsRowDxfId="408"/>
    <tableColumn id="2" xr3:uid="{7EC05DE3-0AE1-476C-82F4-FBDF602A7D89}" name="Ene" totalsRowFunction="sum" dataDxfId="407" totalsRowDxfId="406"/>
    <tableColumn id="3" xr3:uid="{5EC47516-960B-4975-8630-6014B6E99ABB}" name="Feb" totalsRowFunction="sum" dataDxfId="405" totalsRowDxfId="404"/>
    <tableColumn id="4" xr3:uid="{DE676C86-CA8B-448A-9AC3-1CFD4125421A}" name="Marzo" totalsRowFunction="sum" dataDxfId="403" totalsRowDxfId="402"/>
    <tableColumn id="5" xr3:uid="{CD78DC23-A5BE-43F9-A5A9-22E70106C20D}" name="Abril" totalsRowFunction="sum" dataDxfId="401" totalsRowDxfId="400"/>
    <tableColumn id="6" xr3:uid="{A87A36B3-482D-48D6-9E4F-DDF5C0F01788}" name="Mayo" totalsRowFunction="sum" dataDxfId="399" totalsRowDxfId="398"/>
    <tableColumn id="7" xr3:uid="{AB450961-B7A0-4685-ACC1-C0C553B3B697}" name="Junio" totalsRowFunction="sum" dataDxfId="397" totalsRowDxfId="396"/>
    <tableColumn id="8" xr3:uid="{17FC5CB3-839D-404C-BE29-EEAAA64715D2}" name="Julio" totalsRowFunction="sum" dataDxfId="395" totalsRowDxfId="394"/>
    <tableColumn id="9" xr3:uid="{4F3124D9-AD34-4453-A970-C2760AB517C6}" name="Ago" totalsRowFunction="sum" dataDxfId="393" totalsRowDxfId="392"/>
    <tableColumn id="10" xr3:uid="{FDF41601-B8E6-43D8-9FA8-06142ACD98D9}" name="Sept" totalsRowFunction="sum" dataDxfId="391" totalsRowDxfId="390"/>
    <tableColumn id="11" xr3:uid="{36530EDF-4BA2-4A04-A755-9868E1B488B5}" name="Oct" totalsRowFunction="sum" dataDxfId="389" totalsRowDxfId="388"/>
    <tableColumn id="12" xr3:uid="{B6117F45-BFD8-42B9-95B7-11B66E700A05}" name="Nov" totalsRowFunction="sum" dataDxfId="387" totalsRowDxfId="386"/>
    <tableColumn id="13" xr3:uid="{3ABA4A8D-825B-473D-943B-5B6D29ED3D4E}" name="Dic" totalsRowFunction="sum" dataDxfId="385" totalsRowDxfId="384"/>
    <tableColumn id="14" xr3:uid="{2EBABD64-B312-4C33-9485-541665CAE0E4}" name="Año" totalsRowFunction="sum" dataDxfId="383" totalsRowDxfId="382">
      <calculatedColumnFormula>SUM(tblTransportation18[[#This Row],[Ene]:[Dic]])</calculatedColumnFormula>
    </tableColumn>
    <tableColumn id="15" xr3:uid="{FADFBBE4-0060-4DEB-9A61-893C21BB5D10}" name="Columna1" totalsRowDxfId="381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Transportation expenses" altTextSummary="Escriba los gastos de transporte para el año, separados por meses.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5E8B605-5178-459A-A853-09A64F2E752F}" name="tblEntertainment19" displayName="tblEntertainment19" ref="C47:Q52" totalsRowCount="1" headerRowDxfId="380" dataDxfId="379" totalsRowDxfId="378">
  <autoFilter ref="C47:Q51" xr:uid="{00000000-0009-0000-0100-000005000000}"/>
  <tableColumns count="15">
    <tableColumn id="1" xr3:uid="{703A6C82-BDE2-4218-A09B-9FA6E8FB1913}" name="Entretenimiento" totalsRowLabel="Total" totalsRowDxfId="377"/>
    <tableColumn id="2" xr3:uid="{A88F8442-FD1E-4603-943D-C90D20CA199A}" name="Ene" totalsRowFunction="sum" dataDxfId="376" totalsRowDxfId="375"/>
    <tableColumn id="3" xr3:uid="{9BF778F7-3B15-435E-9D4C-38DEE8D9CDA7}" name="Feb" totalsRowFunction="sum" dataDxfId="374" totalsRowDxfId="373"/>
    <tableColumn id="4" xr3:uid="{8F4AC986-DF34-49A8-9CB8-57F9DD6686B4}" name="Marzo" totalsRowFunction="sum" dataDxfId="372" totalsRowDxfId="371"/>
    <tableColumn id="5" xr3:uid="{32EB905D-A012-46EC-B038-EFBDD5773D17}" name="Abril" totalsRowFunction="sum" dataDxfId="370" totalsRowDxfId="369"/>
    <tableColumn id="6" xr3:uid="{B4362A08-A337-4FC1-8A70-1F66DE307316}" name="Mayo" totalsRowFunction="sum" dataDxfId="368" totalsRowDxfId="367"/>
    <tableColumn id="7" xr3:uid="{10824E2D-3AE1-4F89-B358-0A229D5ED2BC}" name="Junio" totalsRowFunction="sum" dataDxfId="366" totalsRowDxfId="365"/>
    <tableColumn id="8" xr3:uid="{01B8D0A3-4DA2-4DDF-AC70-3A74FB49E1BE}" name="Julio" totalsRowFunction="sum" dataDxfId="364" totalsRowDxfId="363"/>
    <tableColumn id="9" xr3:uid="{B6F107BC-9897-466D-8A81-327E64869D11}" name="Ago" totalsRowFunction="sum" dataDxfId="362" totalsRowDxfId="361"/>
    <tableColumn id="10" xr3:uid="{AE76892D-72E3-44FE-B59F-F181BE29DE78}" name="Sept" totalsRowFunction="sum" dataDxfId="360" totalsRowDxfId="359"/>
    <tableColumn id="11" xr3:uid="{7172EF6A-B8AB-4882-BD27-67EFC5DBEDFB}" name="Oct" totalsRowFunction="sum" dataDxfId="358" totalsRowDxfId="357"/>
    <tableColumn id="12" xr3:uid="{14F6E74F-48F1-45C4-ACBD-C5F56DABBDE4}" name="Nov" totalsRowFunction="sum" dataDxfId="356" totalsRowDxfId="355"/>
    <tableColumn id="13" xr3:uid="{BD83200F-D878-4B1A-A20A-EA4E26CEEFEA}" name="Dic" totalsRowFunction="sum" dataDxfId="354" totalsRowDxfId="353"/>
    <tableColumn id="14" xr3:uid="{E013BE10-F5E0-4E82-BBCF-0CA3AE3FB02E}" name="Año" totalsRowFunction="sum" dataDxfId="352" totalsRowDxfId="351">
      <calculatedColumnFormula>SUM(tblEntertainment19[[#This Row],[Ene]:[Dic]])</calculatedColumnFormula>
    </tableColumn>
    <tableColumn id="15" xr3:uid="{9002F634-4D68-492E-B022-A65C9985C5A9}" name="Columna1" totalsRowDxfId="350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Entertainment Expenses" altTextSummary="Escriba los gastos en entretenimiento para el año, separados por meses.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C7CDA47-BE2E-4ED7-BA11-9D6F51E2FFC1}" name="tblHealth20" displayName="tblHealth20" ref="C56:Q64" totalsRowCount="1" headerRowDxfId="349" dataDxfId="348" totalsRowDxfId="347">
  <autoFilter ref="C56:Q63" xr:uid="{00000000-0009-0000-0100-000006000000}"/>
  <tableColumns count="15">
    <tableColumn id="1" xr3:uid="{099F139D-66CC-484C-BEFB-6D174670FD76}" name="Salud" totalsRowLabel="Total" totalsRowDxfId="346"/>
    <tableColumn id="2" xr3:uid="{31F312C7-42F1-423E-A735-51A4D155DABE}" name="Ene" totalsRowFunction="sum" dataDxfId="345" totalsRowDxfId="344"/>
    <tableColumn id="3" xr3:uid="{371692E5-2305-4715-B1A2-FB4BB2F2027E}" name="Feb" totalsRowFunction="sum" dataDxfId="343" totalsRowDxfId="342"/>
    <tableColumn id="4" xr3:uid="{C14EE43B-858F-4BE4-9E58-6B78041D8C01}" name="Marzo" totalsRowFunction="sum" dataDxfId="341" totalsRowDxfId="340"/>
    <tableColumn id="5" xr3:uid="{248562A6-645B-423A-B5FA-742E24321926}" name="Abril" totalsRowFunction="sum" dataDxfId="339" totalsRowDxfId="338"/>
    <tableColumn id="6" xr3:uid="{3E5AE150-91DD-4996-AA28-A0FD5A793A48}" name="Mayo" totalsRowFunction="sum" dataDxfId="337" totalsRowDxfId="336"/>
    <tableColumn id="7" xr3:uid="{6296ED49-E204-4959-B075-9402F7338BDA}" name="Junio" totalsRowFunction="sum" dataDxfId="335" totalsRowDxfId="334"/>
    <tableColumn id="8" xr3:uid="{D701C14E-F0D1-4290-B37C-D868D25E81D4}" name="Julio" totalsRowFunction="sum" dataDxfId="333" totalsRowDxfId="332"/>
    <tableColumn id="9" xr3:uid="{471391EE-4284-4471-9B62-5EDCC9AF18EA}" name="Ago" totalsRowFunction="sum" dataDxfId="331" totalsRowDxfId="330"/>
    <tableColumn id="10" xr3:uid="{E5953520-4E5C-4B9A-82C3-F60999C088AC}" name="Sept" totalsRowFunction="sum" dataDxfId="329" totalsRowDxfId="328"/>
    <tableColumn id="11" xr3:uid="{D75EA91A-AB34-4784-A394-F89C23EE3A4D}" name="Oct" totalsRowFunction="sum" dataDxfId="327" totalsRowDxfId="326"/>
    <tableColumn id="12" xr3:uid="{94A76989-7466-4087-8D7B-7E5008BFF004}" name="Nov" totalsRowFunction="sum" dataDxfId="325" totalsRowDxfId="324"/>
    <tableColumn id="13" xr3:uid="{14EEA2F3-2EC5-48BC-9FA8-E78A2ED6BB75}" name="Dic" totalsRowFunction="sum" dataDxfId="323" totalsRowDxfId="322"/>
    <tableColumn id="14" xr3:uid="{2D1248E8-F00C-4809-A330-1E5CB97AB19B}" name="Año" totalsRowFunction="sum" dataDxfId="321" totalsRowDxfId="320">
      <calculatedColumnFormula>SUM(tblHealth20[[#This Row],[Ene]:[Dic]])</calculatedColumnFormula>
    </tableColumn>
    <tableColumn id="15" xr3:uid="{A5FDEC5C-5127-463A-9999-A92220FFF1A5}" name="Columna1" totalsRowDxfId="319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Health Expenses" altTextSummary="Escriba los gastos de sanidad para el año, separados por mes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Home" displayName="tblHome" ref="C15:Q21" totalsRowCount="1" headerRowDxfId="782" dataDxfId="781" totalsRowDxfId="780">
  <autoFilter ref="C15:Q20" xr:uid="{00000000-0009-0000-0100-000002000000}"/>
  <tableColumns count="15">
    <tableColumn id="1" xr3:uid="{00000000-0010-0000-0100-000001000000}" name="Casa" totalsRowLabel="Total" totalsRowDxfId="104"/>
    <tableColumn id="2" xr3:uid="{00000000-0010-0000-0100-000002000000}" name="Ene" totalsRowFunction="sum" dataDxfId="779" totalsRowDxfId="103"/>
    <tableColumn id="3" xr3:uid="{00000000-0010-0000-0100-000003000000}" name="Feb" totalsRowFunction="sum" dataDxfId="778" totalsRowDxfId="102"/>
    <tableColumn id="4" xr3:uid="{00000000-0010-0000-0100-000004000000}" name="Marzo" totalsRowFunction="sum" dataDxfId="777" totalsRowDxfId="101"/>
    <tableColumn id="5" xr3:uid="{00000000-0010-0000-0100-000005000000}" name="Abril" totalsRowFunction="sum" dataDxfId="776" totalsRowDxfId="100"/>
    <tableColumn id="6" xr3:uid="{00000000-0010-0000-0100-000006000000}" name="Mayo" totalsRowFunction="sum" dataDxfId="775" totalsRowDxfId="99"/>
    <tableColumn id="7" xr3:uid="{00000000-0010-0000-0100-000007000000}" name="Junio" totalsRowFunction="sum" dataDxfId="774" totalsRowDxfId="98"/>
    <tableColumn id="8" xr3:uid="{00000000-0010-0000-0100-000008000000}" name="Julio" totalsRowFunction="sum" dataDxfId="773" totalsRowDxfId="97"/>
    <tableColumn id="9" xr3:uid="{00000000-0010-0000-0100-000009000000}" name="Ago" totalsRowFunction="sum" dataDxfId="772" totalsRowDxfId="96"/>
    <tableColumn id="10" xr3:uid="{00000000-0010-0000-0100-00000A000000}" name="Sept" totalsRowFunction="sum" dataDxfId="771" totalsRowDxfId="95"/>
    <tableColumn id="11" xr3:uid="{00000000-0010-0000-0100-00000B000000}" name="Oct" totalsRowFunction="sum" dataDxfId="770" totalsRowDxfId="94"/>
    <tableColumn id="12" xr3:uid="{00000000-0010-0000-0100-00000C000000}" name="Nov" totalsRowFunction="sum" dataDxfId="769" totalsRowDxfId="93"/>
    <tableColumn id="13" xr3:uid="{00000000-0010-0000-0100-00000D000000}" name="Dic" totalsRowFunction="sum" dataDxfId="768" totalsRowDxfId="92"/>
    <tableColumn id="14" xr3:uid="{00000000-0010-0000-0100-00000E000000}" name="Año" totalsRowFunction="sum" dataDxfId="767" totalsRowDxfId="91">
      <calculatedColumnFormula>SUM(tblHome[[#This Row],[Ene]:[Dic]])</calculatedColumnFormula>
    </tableColumn>
    <tableColumn id="15" xr3:uid="{00000000-0010-0000-0100-00000F000000}" name="Columna1" totalsRowDxfId="90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Home Expenses" altTextSummary="Escriba los gastos del hogar para el año, separados por meses.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A0D7C12-509F-4B81-8EEE-15A317140120}" name="tblVacations21" displayName="tblVacations21" ref="C68:Q75" totalsRowCount="1" headerRowDxfId="318" dataDxfId="317" totalsRowDxfId="316">
  <autoFilter ref="C68:Q74" xr:uid="{00000000-0009-0000-0100-000007000000}"/>
  <tableColumns count="15">
    <tableColumn id="1" xr3:uid="{D2BCCBD6-EEEB-435F-923F-F200AFD731F8}" name="Vacaciones" totalsRowLabel="Total" totalsRowDxfId="315"/>
    <tableColumn id="2" xr3:uid="{1B85A97B-A112-4ECE-866F-366FAE142BBB}" name="Ene" totalsRowFunction="sum" dataDxfId="314" totalsRowDxfId="313"/>
    <tableColumn id="3" xr3:uid="{FC16D6E8-750E-4F1D-AF60-6789FACCAACE}" name="Feb" totalsRowFunction="sum" dataDxfId="312" totalsRowDxfId="311"/>
    <tableColumn id="4" xr3:uid="{C79500A2-ECC8-454E-A516-7EB52421AE34}" name="Marzo" totalsRowFunction="sum" dataDxfId="310" totalsRowDxfId="309"/>
    <tableColumn id="5" xr3:uid="{013B6277-4849-4C3B-BA31-92C3E62552DF}" name="Abril" totalsRowFunction="sum" dataDxfId="308" totalsRowDxfId="307"/>
    <tableColumn id="6" xr3:uid="{85602BAD-FBB0-40FA-AB46-136945E4F8DD}" name="Mayo" totalsRowFunction="sum" dataDxfId="306" totalsRowDxfId="305"/>
    <tableColumn id="7" xr3:uid="{8594CB87-E6C2-4282-B576-5C26C3822FB9}" name="Junio" totalsRowFunction="sum" dataDxfId="304" totalsRowDxfId="303"/>
    <tableColumn id="8" xr3:uid="{E92EC1FE-CF33-454B-B98C-4E8470B14411}" name="Julio" totalsRowFunction="sum" dataDxfId="302" totalsRowDxfId="301"/>
    <tableColumn id="9" xr3:uid="{2614A6C7-53B4-4157-A061-0E84A906C73E}" name="Ago" totalsRowFunction="sum" dataDxfId="300" totalsRowDxfId="299"/>
    <tableColumn id="10" xr3:uid="{9ACF8852-95EA-4653-BD30-2CD57D62525C}" name="Sept" totalsRowFunction="sum" dataDxfId="298" totalsRowDxfId="297"/>
    <tableColumn id="11" xr3:uid="{FAE5BF19-5A08-4AC6-8166-E83D6BA70D48}" name="Oct" totalsRowFunction="sum" dataDxfId="296" totalsRowDxfId="295"/>
    <tableColumn id="12" xr3:uid="{C9CE7645-6D6A-4528-9294-E00F97074BB6}" name="Nov" totalsRowFunction="sum" dataDxfId="294" totalsRowDxfId="293"/>
    <tableColumn id="13" xr3:uid="{A0842543-C993-4C8C-984B-8CA1BF37EBFE}" name="Dic" totalsRowFunction="sum" dataDxfId="292" totalsRowDxfId="291"/>
    <tableColumn id="14" xr3:uid="{40BB81B1-FD89-4D8C-A21C-32B7B7ED5023}" name="Año" totalsRowFunction="sum" dataDxfId="290" totalsRowDxfId="289">
      <calculatedColumnFormula>SUM(tblVacations21[[#This Row],[Ene]:[Dic]])</calculatedColumnFormula>
    </tableColumn>
    <tableColumn id="15" xr3:uid="{BF6136EF-DC5C-4666-8166-9151E81E723C}" name="Columna1" totalsRowDxfId="288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Vacation Expenses" altTextSummary="Escriba los gastos de vacaciones para el año, separados por meses.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B3D3844-1455-4CA8-828F-402A79005DE3}" name="tblRecreation22" displayName="tblRecreation22" ref="C79:Q84" totalsRowCount="1" headerRowDxfId="287" dataDxfId="286" totalsRowDxfId="285">
  <autoFilter ref="C79:Q83" xr:uid="{00000000-0009-0000-0100-000008000000}"/>
  <tableColumns count="15">
    <tableColumn id="1" xr3:uid="{AA49DD2B-DD49-4EFE-8EDE-2BAB75F5645F}" name="Ocio" totalsRowLabel="Total" dataDxfId="284" totalsRowDxfId="283"/>
    <tableColumn id="2" xr3:uid="{AB3987CF-D69D-417F-AF42-0F59537C6C3D}" name="Ene" totalsRowFunction="sum" dataDxfId="282" totalsRowDxfId="281"/>
    <tableColumn id="3" xr3:uid="{A1C940B1-B898-4851-8BD5-D3F7A0450285}" name="Feb" totalsRowFunction="sum" dataDxfId="280" totalsRowDxfId="279"/>
    <tableColumn id="4" xr3:uid="{BE33B20A-98A7-4127-9CB4-BAADD0B1F4E0}" name="Marzo" totalsRowFunction="sum" dataDxfId="278" totalsRowDxfId="277"/>
    <tableColumn id="5" xr3:uid="{519F2D9E-724B-4B0D-8586-7BFD504F6849}" name="Abril" totalsRowFunction="sum" dataDxfId="276" totalsRowDxfId="275"/>
    <tableColumn id="6" xr3:uid="{00766620-BD08-44C2-BB07-0AD84AAF39C5}" name="Mayo" totalsRowFunction="sum" dataDxfId="274" totalsRowDxfId="273"/>
    <tableColumn id="7" xr3:uid="{61FF361B-69D2-4527-A8F2-1BB9773DFFEC}" name="Junio" totalsRowFunction="sum" dataDxfId="272" totalsRowDxfId="271"/>
    <tableColumn id="8" xr3:uid="{E0803834-43D7-4746-B51E-31201A82DE5D}" name="Julio" totalsRowFunction="sum" dataDxfId="270" totalsRowDxfId="269"/>
    <tableColumn id="9" xr3:uid="{DA6CD75C-E59D-4C96-ABA9-44587F074DD0}" name="Ago" totalsRowFunction="sum" dataDxfId="268" totalsRowDxfId="267"/>
    <tableColumn id="10" xr3:uid="{2271BB5D-6831-43B0-A59F-1E190764CAFF}" name="Sept" totalsRowFunction="sum" dataDxfId="266" totalsRowDxfId="265"/>
    <tableColumn id="11" xr3:uid="{0BCD6FD6-2E8F-490C-91F9-E2C9E3C41F30}" name="Oct" totalsRowFunction="sum" dataDxfId="264" totalsRowDxfId="263"/>
    <tableColumn id="12" xr3:uid="{BBEA91CE-7E46-4FD3-9ED8-F79F05442BD4}" name="Nov" totalsRowFunction="sum" dataDxfId="262" totalsRowDxfId="261"/>
    <tableColumn id="13" xr3:uid="{72C41A2B-AC2E-43FF-8E3F-7B32FBFC6D17}" name="Dic" totalsRowFunction="sum" dataDxfId="260" totalsRowDxfId="259"/>
    <tableColumn id="14" xr3:uid="{8A18ED54-5B03-4D6A-9828-2C699E4B3E6E}" name="Año" totalsRowFunction="sum" dataDxfId="258" totalsRowDxfId="257">
      <calculatedColumnFormula>SUM(tblRecreation22[[#This Row],[Ene]:[Dic]])</calculatedColumnFormula>
    </tableColumn>
    <tableColumn id="15" xr3:uid="{B4E3DA75-80FF-49CB-8502-DC9987885D57}" name="Columna1" dataDxfId="256" totalsRowDxfId="255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Recreation Expenses" altTextSummary="Escriba los gastos de ocio para el año, separados por meses.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13975B8-88E1-419B-9106-1090BB1E04F5}" name="tblDues23" displayName="tblDues23" ref="C88:Q96" totalsRowCount="1" headerRowDxfId="254" dataDxfId="253" totalsRowDxfId="252">
  <autoFilter ref="C88:Q95" xr:uid="{00000000-0009-0000-0100-000009000000}"/>
  <tableColumns count="15">
    <tableColumn id="1" xr3:uid="{01FB0B20-88B0-4269-95F7-989ACBDB50B1}" name="Cuotas y suscripciones" totalsRowLabel="Total" dataDxfId="251" totalsRowDxfId="250"/>
    <tableColumn id="2" xr3:uid="{CB22D4D3-5BA8-4998-836C-44973F7DA671}" name="Ene" totalsRowFunction="sum" dataDxfId="249" totalsRowDxfId="248"/>
    <tableColumn id="3" xr3:uid="{21AA4468-FBE1-4B8D-8275-942C64970E71}" name="Feb" totalsRowFunction="sum" dataDxfId="247" totalsRowDxfId="246"/>
    <tableColumn id="4" xr3:uid="{4461E5CE-D7D4-4CA2-A4B2-347887184016}" name="Marzo" totalsRowFunction="sum" dataDxfId="245" totalsRowDxfId="244"/>
    <tableColumn id="5" xr3:uid="{6133DE7C-B3A7-4541-9B12-9F9DD9748E56}" name="Abril" totalsRowFunction="sum" dataDxfId="243" totalsRowDxfId="242"/>
    <tableColumn id="6" xr3:uid="{A3666C39-8F89-4E25-87D3-94AA8A3789A9}" name="Mayo" totalsRowFunction="sum" dataDxfId="241" totalsRowDxfId="240"/>
    <tableColumn id="7" xr3:uid="{0073B778-1585-4D03-8E5B-F9B4089098C8}" name="Junio" totalsRowFunction="sum" dataDxfId="239" totalsRowDxfId="238"/>
    <tableColumn id="8" xr3:uid="{AAC18B48-CE30-483F-A340-46604DC12DD1}" name="Julio" totalsRowFunction="sum" dataDxfId="237" totalsRowDxfId="236"/>
    <tableColumn id="9" xr3:uid="{C6DD6462-E843-46B0-B269-67620EFFBE7F}" name="Ago" totalsRowFunction="sum" dataDxfId="235" totalsRowDxfId="234"/>
    <tableColumn id="10" xr3:uid="{5CC20BA3-D5D6-4BD7-AC79-41AAAAB9A798}" name="Sept" totalsRowFunction="sum" dataDxfId="233" totalsRowDxfId="232"/>
    <tableColumn id="11" xr3:uid="{25D1DF27-0155-43C0-B8D0-44AA14FBA058}" name="Oct" totalsRowFunction="sum" dataDxfId="231" totalsRowDxfId="230"/>
    <tableColumn id="12" xr3:uid="{2501DE6F-E0A1-482E-98A9-717127A6F44B}" name="Nov" totalsRowFunction="sum" dataDxfId="229" totalsRowDxfId="228"/>
    <tableColumn id="13" xr3:uid="{714073FC-4990-4886-A258-631AA8E9A6D5}" name="Dic" totalsRowFunction="sum" dataDxfId="227" totalsRowDxfId="226"/>
    <tableColumn id="14" xr3:uid="{6BD9E706-519F-45C2-9E65-8359519467DF}" name="Año" totalsRowFunction="sum" dataDxfId="225" totalsRowDxfId="224">
      <calculatedColumnFormula>SUM(tblDues23[[#This Row],[Ene]:[Dic]])</calculatedColumnFormula>
    </tableColumn>
    <tableColumn id="15" xr3:uid="{3740D451-69DF-43A7-9020-38883EA05E88}" name="Columna1" dataDxfId="223" totalsRowDxfId="222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Dues &amp; Subscription Expenses" altTextSummary="Especifique las cuotas y los gastos de suscripción para el año, separados por meses.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C34C6EE-1023-4477-8ACF-2E07155F6D7B}" name="tblPersonal24" displayName="tblPersonal24" ref="C100:Q106" totalsRowCount="1" headerRowDxfId="221" dataDxfId="220" totalsRowDxfId="219">
  <autoFilter ref="C100:Q105" xr:uid="{00000000-0009-0000-0100-00000A000000}"/>
  <tableColumns count="15">
    <tableColumn id="1" xr3:uid="{107B5B83-EEC5-4E2A-A38C-BB4E5DAAC920}" name="Personal" totalsRowLabel="Total" dataDxfId="218" totalsRowDxfId="217"/>
    <tableColumn id="2" xr3:uid="{271271E9-82A3-4B11-9CBB-35697B9FFE33}" name="Ene" totalsRowFunction="sum" dataDxfId="216" totalsRowDxfId="215"/>
    <tableColumn id="3" xr3:uid="{4E35C434-65CB-4942-8061-ADFD55E1F365}" name="Feb" totalsRowFunction="sum" dataDxfId="214" totalsRowDxfId="213"/>
    <tableColumn id="4" xr3:uid="{DD3B93CE-8D0D-4821-A4BF-28B77F7F6835}" name="Marzo" totalsRowFunction="sum" dataDxfId="212" totalsRowDxfId="211"/>
    <tableColumn id="5" xr3:uid="{7448B0F4-A33B-4F16-8424-77239640EBDB}" name="Abril" totalsRowFunction="sum" dataDxfId="210" totalsRowDxfId="209"/>
    <tableColumn id="6" xr3:uid="{340F7464-62E9-4012-981C-7A451999487C}" name="Mayo" totalsRowFunction="sum" dataDxfId="208" totalsRowDxfId="207"/>
    <tableColumn id="7" xr3:uid="{3FD9CE54-C434-4809-8E55-8B844775AC1E}" name="Junio" totalsRowFunction="sum" dataDxfId="206" totalsRowDxfId="205"/>
    <tableColumn id="8" xr3:uid="{5D4612B1-42DD-40F4-BBA0-74B14EA23F94}" name="Julio" totalsRowFunction="sum" dataDxfId="204" totalsRowDxfId="203"/>
    <tableColumn id="9" xr3:uid="{CB7B6DEA-ADCE-4479-9DC3-521A897944B0}" name="Ago" totalsRowFunction="sum" dataDxfId="202" totalsRowDxfId="201"/>
    <tableColumn id="10" xr3:uid="{C98EE69D-0FDD-4436-A1D0-7C46DC061F15}" name="Sept" totalsRowFunction="sum" dataDxfId="200" totalsRowDxfId="199"/>
    <tableColumn id="11" xr3:uid="{3C18FDD9-260E-4749-A6AE-AA7748AC6BF9}" name="Oct" totalsRowFunction="sum" dataDxfId="198" totalsRowDxfId="197"/>
    <tableColumn id="12" xr3:uid="{05EBFF1D-BD6C-4A1F-AE5A-A25177E1768E}" name="Nov" totalsRowFunction="sum" dataDxfId="196" totalsRowDxfId="195"/>
    <tableColumn id="13" xr3:uid="{DF9E9178-BDF6-4540-9454-E9C9C3E499E6}" name="Dic" totalsRowFunction="sum" dataDxfId="194" totalsRowDxfId="193"/>
    <tableColumn id="14" xr3:uid="{C27F46A9-8565-46A3-B949-F1A9D5D38007}" name="Año" totalsRowFunction="sum" dataDxfId="192" totalsRowDxfId="191">
      <calculatedColumnFormula>SUM(tblPersonal24[[#This Row],[Ene]:[Dic]])</calculatedColumnFormula>
    </tableColumn>
    <tableColumn id="15" xr3:uid="{50A1711F-D00C-456A-B5C7-2CC2BA815232}" name="Columna1" dataDxfId="190" totalsRowDxfId="189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Personal Expenses" altTextSummary="Escriba sus gastos personales para el año, separados por meses.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CD889A8-A3A7-414B-8068-7B5633F9551E}" name="tblFinancial25" displayName="tblFinancial25" ref="C110:Q116" totalsRowCount="1" headerRowDxfId="188" dataDxfId="187" totalsRowDxfId="186">
  <autoFilter ref="C110:Q115" xr:uid="{00000000-0009-0000-0100-00000B000000}"/>
  <tableColumns count="15">
    <tableColumn id="1" xr3:uid="{A29FED79-2285-4BF1-829C-FED4440420ED}" name="Obligaciones financieras" totalsRowLabel="Total" dataDxfId="185" totalsRowDxfId="184"/>
    <tableColumn id="2" xr3:uid="{E88D9E47-7756-460E-B9BF-C1EA78CED055}" name="Ene" totalsRowFunction="sum" dataDxfId="183" totalsRowDxfId="182"/>
    <tableColumn id="3" xr3:uid="{066ED287-DE2B-4B42-AC41-28E903B6BE9A}" name="Feb" totalsRowFunction="sum" dataDxfId="181" totalsRowDxfId="180"/>
    <tableColumn id="4" xr3:uid="{8E47E788-ABA3-44B2-A3DB-DEA6E26279D8}" name="Marzo" totalsRowFunction="sum" dataDxfId="179" totalsRowDxfId="178"/>
    <tableColumn id="5" xr3:uid="{56294BE5-FF7F-4781-8453-F63927BD9981}" name="Abril" totalsRowFunction="sum" dataDxfId="177" totalsRowDxfId="176"/>
    <tableColumn id="6" xr3:uid="{7B888612-5164-4C65-A5C6-2B8B16EDD64D}" name="Mayo" totalsRowFunction="sum" dataDxfId="175" totalsRowDxfId="174"/>
    <tableColumn id="7" xr3:uid="{AF52DFF2-DA08-4037-8D03-A4834AB01060}" name="Junio" totalsRowFunction="sum" dataDxfId="173" totalsRowDxfId="172"/>
    <tableColumn id="8" xr3:uid="{D4070E23-DD9F-409F-88D1-BE1E884FE5EC}" name="Julio" totalsRowFunction="sum" dataDxfId="171" totalsRowDxfId="170"/>
    <tableColumn id="9" xr3:uid="{EAB35085-F63D-417A-9803-93B3F04224CA}" name="Ago" totalsRowFunction="sum" dataDxfId="169" totalsRowDxfId="168"/>
    <tableColumn id="10" xr3:uid="{9D8240B7-048B-43ED-A3EC-6B2011F9E6BE}" name="Sept" totalsRowFunction="sum" dataDxfId="167" totalsRowDxfId="166"/>
    <tableColumn id="11" xr3:uid="{05993EC3-5126-43A1-948D-BEF4C3514BB9}" name="Oct" totalsRowFunction="sum" dataDxfId="165" totalsRowDxfId="164"/>
    <tableColumn id="12" xr3:uid="{DC70D263-5071-4F45-9167-A01DC1240939}" name="Nov" totalsRowFunction="sum" dataDxfId="163" totalsRowDxfId="162"/>
    <tableColumn id="13" xr3:uid="{F356F810-7DFD-401F-AFBC-697C1F175298}" name="Dic" totalsRowFunction="sum" dataDxfId="161" totalsRowDxfId="160"/>
    <tableColumn id="14" xr3:uid="{BE465E7E-5770-4874-A9AB-FAB769A20F49}" name="Año" totalsRowFunction="sum" dataDxfId="159" totalsRowDxfId="158">
      <calculatedColumnFormula>SUM(tblFinancial25[[#This Row],[Ene]:[Dic]])</calculatedColumnFormula>
    </tableColumn>
    <tableColumn id="15" xr3:uid="{9E8FB022-B7C7-45BD-8FCC-A659917B69F1}" name="Columna1" dataDxfId="157" totalsRowDxfId="156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Financial Expenses" altTextSummary="Escriba los gastos financieros para el año, separados por meses.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33114CE-C588-48B8-8279-65806964EE4E}" name="tblMisc26" displayName="tblMisc26" ref="C120:Q126" totalsRowCount="1" headerRowDxfId="155" dataDxfId="154" totalsRowDxfId="153">
  <autoFilter ref="C120:Q125" xr:uid="{00000000-0009-0000-0100-00000C000000}"/>
  <tableColumns count="15">
    <tableColumn id="1" xr3:uid="{B613F965-928E-4430-9681-FEBCB811DF45}" name="Pagos varios" totalsRowLabel="Total" totalsRowDxfId="152"/>
    <tableColumn id="2" xr3:uid="{74033050-6908-4EDE-AD16-9226A114BD62}" name="Ene" totalsRowFunction="sum" dataDxfId="151" totalsRowDxfId="150"/>
    <tableColumn id="3" xr3:uid="{AB288508-74F1-4D2A-8509-332F7AC8BD57}" name="Feb" totalsRowFunction="sum" dataDxfId="149" totalsRowDxfId="148"/>
    <tableColumn id="4" xr3:uid="{F2F0F4B5-62A3-4539-901C-83A6C47DBD03}" name="Marzo" totalsRowFunction="sum" dataDxfId="147" totalsRowDxfId="146"/>
    <tableColumn id="5" xr3:uid="{60F7146A-D8ED-41C6-A46A-DEC148150100}" name="Abril" totalsRowFunction="sum" dataDxfId="145" totalsRowDxfId="144"/>
    <tableColumn id="6" xr3:uid="{BE0D148E-3BF2-42E3-B68F-F5ABE547916F}" name="Mayo" totalsRowFunction="sum" dataDxfId="143" totalsRowDxfId="142"/>
    <tableColumn id="7" xr3:uid="{ECFD538C-4541-4C43-B133-21ED407EBAB5}" name="Junio" totalsRowFunction="sum" dataDxfId="141" totalsRowDxfId="140"/>
    <tableColumn id="8" xr3:uid="{CAAE03D2-5ECE-4D4C-8B1A-4815F3BEB8E0}" name="Julio" totalsRowFunction="sum" dataDxfId="139" totalsRowDxfId="138"/>
    <tableColumn id="9" xr3:uid="{75586E6B-737D-4385-9E2B-A0DE4C0C2B22}" name="Ago" totalsRowFunction="sum" dataDxfId="137" totalsRowDxfId="136"/>
    <tableColumn id="10" xr3:uid="{6B0E61B4-82C3-4E23-8B5F-4518DB80D245}" name="Sept" totalsRowFunction="sum" dataDxfId="135" totalsRowDxfId="134"/>
    <tableColumn id="11" xr3:uid="{D6DBD6AD-29EC-48EA-9A93-485B33C02231}" name="Oct" totalsRowFunction="sum" dataDxfId="133" totalsRowDxfId="132"/>
    <tableColumn id="12" xr3:uid="{F11B9CA6-FC3A-4FD1-B520-2551678C813B}" name="Nov" totalsRowFunction="sum" dataDxfId="131" totalsRowDxfId="130"/>
    <tableColumn id="13" xr3:uid="{5425BE12-FD6E-4E00-9D1C-77355F2CDBAA}" name="Dic" totalsRowFunction="sum" dataDxfId="129" totalsRowDxfId="128"/>
    <tableColumn id="14" xr3:uid="{E2C3C004-8986-42C0-9DE4-1B6F5D1654EF}" name="Año" totalsRowFunction="sum" dataDxfId="127" totalsRowDxfId="126">
      <calculatedColumnFormula>SUM(tblMisc26[[#This Row],[Ene]:[Dic]])</calculatedColumnFormula>
    </tableColumn>
    <tableColumn id="15" xr3:uid="{6438CF76-9DE3-4223-B65C-3F3A009D349E}" name="Columna1" dataDxfId="125" totalsRowDxfId="124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Misc Expenses" altTextSummary="Escriba los gastos varios para el año, separados por meses.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3690F43-6D53-467B-B6EA-1605F5D3B93F}" name="tblTotals27" displayName="tblTotals27" ref="C129:Q131" totalsRowShown="0" headerRowDxfId="123" dataDxfId="122">
  <tableColumns count="15">
    <tableColumn id="1" xr3:uid="{2BA3EA10-7DEF-4614-B4F0-84FD1BC53866}" name="TOTALES" dataDxfId="121"/>
    <tableColumn id="2" xr3:uid="{3E39F905-463B-419F-B8B9-BE7649727111}" name="ENE" dataDxfId="120">
      <calculatedColumnFormula>tblIncome15[[#Totals],[Ene]]-D129</calculatedColumnFormula>
    </tableColumn>
    <tableColumn id="3" xr3:uid="{57313880-7250-438B-A7B7-77B92CE40EAA}" name="FEB" dataDxfId="119">
      <calculatedColumnFormula>tblIncome15[[#Totals],[Feb]]-E129</calculatedColumnFormula>
    </tableColumn>
    <tableColumn id="4" xr3:uid="{9C8BAA56-91F0-44B5-BA6E-E76E01EE17FD}" name="MAR" dataDxfId="118">
      <calculatedColumnFormula>tblIncome15[[#Totals],[Marzo]]-F129</calculatedColumnFormula>
    </tableColumn>
    <tableColumn id="5" xr3:uid="{0C075B55-07D0-405F-A31D-BB8D5356CD3D}" name="ABR" dataDxfId="117">
      <calculatedColumnFormula>tblIncome15[[#Totals],[Abril]]-G129</calculatedColumnFormula>
    </tableColumn>
    <tableColumn id="6" xr3:uid="{18C3ECC8-DD16-433A-94E0-C606A7EAF024}" name="MAYO" dataDxfId="116">
      <calculatedColumnFormula>tblIncome15[[#Totals],[Mayo]]-H129</calculatedColumnFormula>
    </tableColumn>
    <tableColumn id="7" xr3:uid="{7C0F58DC-5A38-4097-9533-E8CFBD7EFF7B}" name="JUN" dataDxfId="115">
      <calculatedColumnFormula>tblIncome15[[#Totals],[Junio]]-I129</calculatedColumnFormula>
    </tableColumn>
    <tableColumn id="8" xr3:uid="{73D9E307-A2A7-4AA8-A976-F20DB10116BE}" name="JUL" dataDxfId="114">
      <calculatedColumnFormula>tblIncome15[[#Totals],[Julio]]-J129</calculatedColumnFormula>
    </tableColumn>
    <tableColumn id="9" xr3:uid="{2574D450-ABFC-4556-8435-17200D9B0694}" name="AGO" dataDxfId="113">
      <calculatedColumnFormula>tblIncome15[[#Totals],[Ago]]-K129</calculatedColumnFormula>
    </tableColumn>
    <tableColumn id="10" xr3:uid="{8545ABA6-8B08-4185-886D-0336914C470A}" name="SEP" dataDxfId="112">
      <calculatedColumnFormula>tblIncome15[[#Totals],[Sept]]-L129</calculatedColumnFormula>
    </tableColumn>
    <tableColumn id="11" xr3:uid="{0989FD5E-246C-4735-AEFF-AD2CE9DE13D9}" name="OCT" dataDxfId="111">
      <calculatedColumnFormula>tblIncome15[[#Totals],[Oct]]-M129</calculatedColumnFormula>
    </tableColumn>
    <tableColumn id="12" xr3:uid="{95FD881A-99D6-4FD5-A330-C7E95E54B11C}" name="NOV" dataDxfId="110">
      <calculatedColumnFormula>tblIncome15[[#Totals],[Nov]]-N129</calculatedColumnFormula>
    </tableColumn>
    <tableColumn id="13" xr3:uid="{E9360B3C-85C3-4477-8B49-BBAC85E7DF4E}" name="DIC" dataDxfId="109">
      <calculatedColumnFormula>tblIncome15[[#Totals],[Dic]]-O129</calculatedColumnFormula>
    </tableColumn>
    <tableColumn id="14" xr3:uid="{0C4F971D-E423-46C5-A618-1C1A89E22172}" name="AÑO" dataDxfId="108">
      <calculatedColumnFormula>tblIncome15[[#Totals],[Año]]-P129</calculatedColumnFormula>
    </tableColumn>
    <tableColumn id="15" xr3:uid="{5B65CFFE-CCAE-4039-B7C3-1886C07E383C}" name=" " dataDxfId="107"/>
  </tableColumns>
  <tableStyleInfo showFirstColumn="1" showLastColumn="0" showRowStripes="0" showColumnStripes="1"/>
  <extLst>
    <ext xmlns:x14="http://schemas.microsoft.com/office/spreadsheetml/2009/9/main" uri="{504A1905-F514-4f6f-8877-14C23A59335A}">
      <x14:table altText="Totals" altTextSummary="Vea los totales para el año, separados por meses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Daily" displayName="tblDaily" ref="C25:Q32" totalsRowCount="1" headerRowDxfId="766" dataDxfId="765" totalsRowDxfId="764">
  <autoFilter ref="C25:Q31" xr:uid="{00000000-0009-0000-0100-000003000000}"/>
  <tableColumns count="15">
    <tableColumn id="1" xr3:uid="{00000000-0010-0000-0200-000001000000}" name="Vida diaria" totalsRowLabel="Total" totalsRowDxfId="89"/>
    <tableColumn id="2" xr3:uid="{00000000-0010-0000-0200-000002000000}" name="Columna2" totalsRowFunction="sum" dataDxfId="763" totalsRowDxfId="88"/>
    <tableColumn id="3" xr3:uid="{00000000-0010-0000-0200-000003000000}" name="Columna3" totalsRowFunction="sum" dataDxfId="762" totalsRowDxfId="87"/>
    <tableColumn id="4" xr3:uid="{00000000-0010-0000-0200-000004000000}" name="Columna4" totalsRowFunction="sum" dataDxfId="761" totalsRowDxfId="86"/>
    <tableColumn id="5" xr3:uid="{00000000-0010-0000-0200-000005000000}" name="Abril" totalsRowFunction="sum" dataDxfId="760" totalsRowDxfId="85"/>
    <tableColumn id="6" xr3:uid="{00000000-0010-0000-0200-000006000000}" name="Mayo" totalsRowFunction="sum" dataDxfId="759" totalsRowDxfId="84"/>
    <tableColumn id="7" xr3:uid="{00000000-0010-0000-0200-000007000000}" name="Junio" totalsRowFunction="sum" dataDxfId="758" totalsRowDxfId="83"/>
    <tableColumn id="8" xr3:uid="{00000000-0010-0000-0200-000008000000}" name="Julio" totalsRowFunction="sum" dataDxfId="757" totalsRowDxfId="82"/>
    <tableColumn id="9" xr3:uid="{00000000-0010-0000-0200-000009000000}" name="Ago" totalsRowFunction="sum" dataDxfId="756" totalsRowDxfId="81"/>
    <tableColumn id="10" xr3:uid="{00000000-0010-0000-0200-00000A000000}" name="Sept" totalsRowFunction="sum" dataDxfId="755" totalsRowDxfId="80"/>
    <tableColumn id="11" xr3:uid="{00000000-0010-0000-0200-00000B000000}" name="Oct" totalsRowFunction="sum" dataDxfId="754" totalsRowDxfId="79"/>
    <tableColumn id="12" xr3:uid="{00000000-0010-0000-0200-00000C000000}" name="Nov" totalsRowFunction="sum" dataDxfId="753" totalsRowDxfId="78"/>
    <tableColumn id="13" xr3:uid="{00000000-0010-0000-0200-00000D000000}" name="Dic" totalsRowFunction="sum" dataDxfId="752" totalsRowDxfId="77"/>
    <tableColumn id="14" xr3:uid="{00000000-0010-0000-0200-00000E000000}" name="Año" totalsRowFunction="sum" dataDxfId="751" totalsRowDxfId="76">
      <calculatedColumnFormula>SUM(tblDaily[[#This Row],[Columna2]:[Dic]])</calculatedColumnFormula>
    </tableColumn>
    <tableColumn id="15" xr3:uid="{00000000-0010-0000-0200-00000F000000}" name="Columna1" totalsRowDxfId="75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Daily Living Expenses" altTextSummary="Escriba los gastos diarios para el año, separados por meses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Transportation" displayName="tblTransportation" ref="C36:Q43" totalsRowCount="1" headerRowDxfId="750" dataDxfId="749" totalsRowDxfId="748">
  <autoFilter ref="C36:Q42" xr:uid="{00000000-0009-0000-0100-000004000000}"/>
  <tableColumns count="15">
    <tableColumn id="1" xr3:uid="{00000000-0010-0000-0300-000001000000}" name="Transporte" totalsRowLabel="Total" totalsRowDxfId="74"/>
    <tableColumn id="2" xr3:uid="{00000000-0010-0000-0300-000002000000}" name="Columna2" totalsRowFunction="sum" dataDxfId="747" totalsRowDxfId="73"/>
    <tableColumn id="3" xr3:uid="{00000000-0010-0000-0300-000003000000}" name="Columna3" totalsRowFunction="sum" dataDxfId="746" totalsRowDxfId="72"/>
    <tableColumn id="4" xr3:uid="{00000000-0010-0000-0300-000004000000}" name="Columna4" totalsRowFunction="sum" dataDxfId="745" totalsRowDxfId="71"/>
    <tableColumn id="5" xr3:uid="{00000000-0010-0000-0300-000005000000}" name="Abril" totalsRowFunction="sum" dataDxfId="744" totalsRowDxfId="70"/>
    <tableColumn id="6" xr3:uid="{00000000-0010-0000-0300-000006000000}" name="Mayo" totalsRowFunction="sum" dataDxfId="743" totalsRowDxfId="69"/>
    <tableColumn id="7" xr3:uid="{00000000-0010-0000-0300-000007000000}" name="Junio" totalsRowFunction="sum" dataDxfId="742" totalsRowDxfId="68"/>
    <tableColumn id="8" xr3:uid="{00000000-0010-0000-0300-000008000000}" name="Julio" totalsRowFunction="sum" dataDxfId="741" totalsRowDxfId="67"/>
    <tableColumn id="9" xr3:uid="{00000000-0010-0000-0300-000009000000}" name="Ago" totalsRowFunction="sum" dataDxfId="740" totalsRowDxfId="66"/>
    <tableColumn id="10" xr3:uid="{00000000-0010-0000-0300-00000A000000}" name="Sept" totalsRowFunction="sum" dataDxfId="739" totalsRowDxfId="65"/>
    <tableColumn id="11" xr3:uid="{00000000-0010-0000-0300-00000B000000}" name="Oct" totalsRowFunction="sum" dataDxfId="738" totalsRowDxfId="64"/>
    <tableColumn id="12" xr3:uid="{00000000-0010-0000-0300-00000C000000}" name="Nov" totalsRowFunction="sum" dataDxfId="737" totalsRowDxfId="63"/>
    <tableColumn id="13" xr3:uid="{00000000-0010-0000-0300-00000D000000}" name="Dic" totalsRowFunction="sum" dataDxfId="736" totalsRowDxfId="62"/>
    <tableColumn id="14" xr3:uid="{00000000-0010-0000-0300-00000E000000}" name="Año" totalsRowFunction="sum" dataDxfId="735" totalsRowDxfId="61">
      <calculatedColumnFormula>SUM(tblTransportation[[#This Row],[Columna2]:[Dic]])</calculatedColumnFormula>
    </tableColumn>
    <tableColumn id="15" xr3:uid="{00000000-0010-0000-0300-00000F000000}" name="Columna1" totalsRowDxfId="60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Transportation expenses" altTextSummary="Escriba los gastos de transporte para el año, separados por meses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blEntertainment" displayName="tblEntertainment" ref="C47:Q52" totalsRowCount="1" headerRowDxfId="734" dataDxfId="733" totalsRowDxfId="732">
  <autoFilter ref="C47:Q51" xr:uid="{00000000-0009-0000-0100-000005000000}"/>
  <tableColumns count="15">
    <tableColumn id="1" xr3:uid="{00000000-0010-0000-0400-000001000000}" name="Entretenimiento" totalsRowLabel="Total" totalsRowDxfId="59"/>
    <tableColumn id="2" xr3:uid="{00000000-0010-0000-0400-000002000000}" name="Columna2" totalsRowFunction="sum" dataDxfId="731" totalsRowDxfId="58"/>
    <tableColumn id="3" xr3:uid="{00000000-0010-0000-0400-000003000000}" name="Columna3" totalsRowFunction="sum" dataDxfId="730" totalsRowDxfId="57"/>
    <tableColumn id="4" xr3:uid="{00000000-0010-0000-0400-000004000000}" name="Columna4" totalsRowFunction="sum" dataDxfId="729" totalsRowDxfId="56"/>
    <tableColumn id="5" xr3:uid="{00000000-0010-0000-0400-000005000000}" name="Abril" totalsRowFunction="sum" dataDxfId="728" totalsRowDxfId="55"/>
    <tableColumn id="6" xr3:uid="{00000000-0010-0000-0400-000006000000}" name="Mayo" totalsRowFunction="sum" dataDxfId="727" totalsRowDxfId="54"/>
    <tableColumn id="7" xr3:uid="{00000000-0010-0000-0400-000007000000}" name="Junio" totalsRowFunction="sum" dataDxfId="726" totalsRowDxfId="53"/>
    <tableColumn id="8" xr3:uid="{00000000-0010-0000-0400-000008000000}" name="Julio" totalsRowFunction="sum" dataDxfId="725" totalsRowDxfId="52"/>
    <tableColumn id="9" xr3:uid="{00000000-0010-0000-0400-000009000000}" name="Ago" totalsRowFunction="sum" dataDxfId="724" totalsRowDxfId="51"/>
    <tableColumn id="10" xr3:uid="{00000000-0010-0000-0400-00000A000000}" name="Sept" totalsRowFunction="sum" dataDxfId="723" totalsRowDxfId="50"/>
    <tableColumn id="11" xr3:uid="{00000000-0010-0000-0400-00000B000000}" name="Oct" totalsRowFunction="sum" dataDxfId="722" totalsRowDxfId="49"/>
    <tableColumn id="12" xr3:uid="{00000000-0010-0000-0400-00000C000000}" name="Nov" totalsRowFunction="sum" dataDxfId="721" totalsRowDxfId="48"/>
    <tableColumn id="13" xr3:uid="{00000000-0010-0000-0400-00000D000000}" name="Dic" totalsRowFunction="sum" dataDxfId="720" totalsRowDxfId="47"/>
    <tableColumn id="14" xr3:uid="{00000000-0010-0000-0400-00000E000000}" name="Año" totalsRowFunction="sum" dataDxfId="719" totalsRowDxfId="46">
      <calculatedColumnFormula>SUM(tblEntertainment[[#This Row],[Columna2]:[Dic]])</calculatedColumnFormula>
    </tableColumn>
    <tableColumn id="15" xr3:uid="{00000000-0010-0000-0400-00000F000000}" name="Columna1" totalsRowDxfId="45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Entertainment Expenses" altTextSummary="Escriba los gastos en entretenimiento para el año, separados por meses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blHealth" displayName="tblHealth" ref="C56:Q64" totalsRowCount="1" headerRowDxfId="718" dataDxfId="717" totalsRowDxfId="716">
  <autoFilter ref="C56:Q63" xr:uid="{00000000-0009-0000-0100-000006000000}"/>
  <tableColumns count="15">
    <tableColumn id="1" xr3:uid="{00000000-0010-0000-0500-000001000000}" name="Salud" totalsRowLabel="Total" totalsRowDxfId="44"/>
    <tableColumn id="2" xr3:uid="{00000000-0010-0000-0500-000002000000}" name="Columna2" totalsRowFunction="sum" dataDxfId="715" totalsRowDxfId="43"/>
    <tableColumn id="3" xr3:uid="{00000000-0010-0000-0500-000003000000}" name="Columna3" totalsRowFunction="sum" dataDxfId="714" totalsRowDxfId="42"/>
    <tableColumn id="4" xr3:uid="{00000000-0010-0000-0500-000004000000}" name="Columna4" totalsRowFunction="sum" dataDxfId="713" totalsRowDxfId="41"/>
    <tableColumn id="5" xr3:uid="{00000000-0010-0000-0500-000005000000}" name="Abril" totalsRowFunction="sum" dataDxfId="712" totalsRowDxfId="40"/>
    <tableColumn id="6" xr3:uid="{00000000-0010-0000-0500-000006000000}" name="Mayo" totalsRowFunction="sum" dataDxfId="711" totalsRowDxfId="39"/>
    <tableColumn id="7" xr3:uid="{00000000-0010-0000-0500-000007000000}" name="Junio" totalsRowFunction="sum" dataDxfId="710" totalsRowDxfId="38"/>
    <tableColumn id="8" xr3:uid="{00000000-0010-0000-0500-000008000000}" name="Julio" totalsRowFunction="sum" dataDxfId="709" totalsRowDxfId="37"/>
    <tableColumn id="9" xr3:uid="{00000000-0010-0000-0500-000009000000}" name="Ago" totalsRowFunction="sum" dataDxfId="708" totalsRowDxfId="36"/>
    <tableColumn id="10" xr3:uid="{00000000-0010-0000-0500-00000A000000}" name="Sept" totalsRowFunction="sum" dataDxfId="707" totalsRowDxfId="35"/>
    <tableColumn id="11" xr3:uid="{00000000-0010-0000-0500-00000B000000}" name="Oct" totalsRowFunction="sum" dataDxfId="706" totalsRowDxfId="34"/>
    <tableColumn id="12" xr3:uid="{00000000-0010-0000-0500-00000C000000}" name="Nov" totalsRowFunction="sum" dataDxfId="705" totalsRowDxfId="33"/>
    <tableColumn id="13" xr3:uid="{00000000-0010-0000-0500-00000D000000}" name="Dic" totalsRowFunction="sum" dataDxfId="704" totalsRowDxfId="32"/>
    <tableColumn id="14" xr3:uid="{00000000-0010-0000-0500-00000E000000}" name="Año" totalsRowFunction="sum" dataDxfId="703" totalsRowDxfId="31">
      <calculatedColumnFormula>SUM(tblHealth[[#This Row],[Columna2]:[Dic]])</calculatedColumnFormula>
    </tableColumn>
    <tableColumn id="15" xr3:uid="{00000000-0010-0000-0500-00000F000000}" name="Columna1" totalsRowDxfId="30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Health Expenses" altTextSummary="Escriba los gastos de sanidad para el año, separados por meses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blVacations" displayName="tblVacations" ref="C68:Q75" totalsRowCount="1" headerRowDxfId="702" dataDxfId="701" totalsRowDxfId="700">
  <autoFilter ref="C68:Q74" xr:uid="{00000000-0009-0000-0100-000007000000}"/>
  <tableColumns count="15">
    <tableColumn id="1" xr3:uid="{00000000-0010-0000-0600-000001000000}" name="Vacaciones" totalsRowLabel="Total" totalsRowDxfId="699"/>
    <tableColumn id="2" xr3:uid="{00000000-0010-0000-0600-000002000000}" name="Ene" totalsRowFunction="sum" dataDxfId="698" totalsRowDxfId="697"/>
    <tableColumn id="3" xr3:uid="{00000000-0010-0000-0600-000003000000}" name="Feb" totalsRowFunction="sum" dataDxfId="696" totalsRowDxfId="695"/>
    <tableColumn id="4" xr3:uid="{00000000-0010-0000-0600-000004000000}" name="Marzo" totalsRowFunction="sum" dataDxfId="694" totalsRowDxfId="693"/>
    <tableColumn id="5" xr3:uid="{00000000-0010-0000-0600-000005000000}" name="Abril" totalsRowFunction="sum" dataDxfId="692" totalsRowDxfId="691"/>
    <tableColumn id="6" xr3:uid="{00000000-0010-0000-0600-000006000000}" name="Mayo" totalsRowFunction="sum" dataDxfId="690" totalsRowDxfId="689"/>
    <tableColumn id="7" xr3:uid="{00000000-0010-0000-0600-000007000000}" name="Junio" totalsRowFunction="sum" dataDxfId="688" totalsRowDxfId="687"/>
    <tableColumn id="8" xr3:uid="{00000000-0010-0000-0600-000008000000}" name="Julio" totalsRowFunction="sum" dataDxfId="686" totalsRowDxfId="685"/>
    <tableColumn id="9" xr3:uid="{00000000-0010-0000-0600-000009000000}" name="Ago" totalsRowFunction="sum" dataDxfId="684" totalsRowDxfId="683"/>
    <tableColumn id="10" xr3:uid="{00000000-0010-0000-0600-00000A000000}" name="Sept" totalsRowFunction="sum" dataDxfId="682" totalsRowDxfId="681"/>
    <tableColumn id="11" xr3:uid="{00000000-0010-0000-0600-00000B000000}" name="Oct" totalsRowFunction="sum" dataDxfId="680" totalsRowDxfId="679"/>
    <tableColumn id="12" xr3:uid="{00000000-0010-0000-0600-00000C000000}" name="Nov" totalsRowFunction="sum" dataDxfId="678" totalsRowDxfId="677"/>
    <tableColumn id="13" xr3:uid="{00000000-0010-0000-0600-00000D000000}" name="Dic" totalsRowFunction="sum" dataDxfId="676" totalsRowDxfId="675"/>
    <tableColumn id="14" xr3:uid="{00000000-0010-0000-0600-00000E000000}" name="Año" totalsRowFunction="sum" dataDxfId="674" totalsRowDxfId="673">
      <calculatedColumnFormula>SUM(tblVacations[[#This Row],[Ene]:[Dic]])</calculatedColumnFormula>
    </tableColumn>
    <tableColumn id="15" xr3:uid="{00000000-0010-0000-0600-00000F000000}" name="Columna1" totalsRowDxfId="672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Vacation Expenses" altTextSummary="Escriba los gastos de vacaciones para el año, separados por meses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blRecreation" displayName="tblRecreation" ref="C79:Q84" totalsRowCount="1" headerRowDxfId="671" dataDxfId="670" totalsRowDxfId="669">
  <autoFilter ref="C79:Q83" xr:uid="{00000000-0009-0000-0100-000008000000}"/>
  <tableColumns count="15">
    <tableColumn id="1" xr3:uid="{00000000-0010-0000-0700-000001000000}" name="Ocio" totalsRowLabel="Total" dataDxfId="668" totalsRowDxfId="667"/>
    <tableColumn id="2" xr3:uid="{00000000-0010-0000-0700-000002000000}" name="Ene" totalsRowFunction="sum" dataDxfId="666" totalsRowDxfId="665"/>
    <tableColumn id="3" xr3:uid="{00000000-0010-0000-0700-000003000000}" name="Feb" totalsRowFunction="sum" dataDxfId="664" totalsRowDxfId="663"/>
    <tableColumn id="4" xr3:uid="{00000000-0010-0000-0700-000004000000}" name="Marzo" totalsRowFunction="sum" dataDxfId="662" totalsRowDxfId="661"/>
    <tableColumn id="5" xr3:uid="{00000000-0010-0000-0700-000005000000}" name="Abril" totalsRowFunction="sum" dataDxfId="660" totalsRowDxfId="659"/>
    <tableColumn id="6" xr3:uid="{00000000-0010-0000-0700-000006000000}" name="Mayo" totalsRowFunction="sum" dataDxfId="658" totalsRowDxfId="657"/>
    <tableColumn id="7" xr3:uid="{00000000-0010-0000-0700-000007000000}" name="Junio" totalsRowFunction="sum" dataDxfId="656" totalsRowDxfId="655"/>
    <tableColumn id="8" xr3:uid="{00000000-0010-0000-0700-000008000000}" name="Julio" totalsRowFunction="sum" dataDxfId="654" totalsRowDxfId="653"/>
    <tableColumn id="9" xr3:uid="{00000000-0010-0000-0700-000009000000}" name="Ago" totalsRowFunction="sum" dataDxfId="652" totalsRowDxfId="651"/>
    <tableColumn id="10" xr3:uid="{00000000-0010-0000-0700-00000A000000}" name="Sept" totalsRowFunction="sum" dataDxfId="650" totalsRowDxfId="649"/>
    <tableColumn id="11" xr3:uid="{00000000-0010-0000-0700-00000B000000}" name="Oct" totalsRowFunction="sum" dataDxfId="648" totalsRowDxfId="647"/>
    <tableColumn id="12" xr3:uid="{00000000-0010-0000-0700-00000C000000}" name="Nov" totalsRowFunction="sum" dataDxfId="646" totalsRowDxfId="645"/>
    <tableColumn id="13" xr3:uid="{00000000-0010-0000-0700-00000D000000}" name="Dic" totalsRowFunction="sum" dataDxfId="644" totalsRowDxfId="643"/>
    <tableColumn id="14" xr3:uid="{00000000-0010-0000-0700-00000E000000}" name="Año" totalsRowFunction="sum" dataDxfId="642" totalsRowDxfId="641">
      <calculatedColumnFormula>SUM(tblRecreation[[#This Row],[Ene]:[Dic]])</calculatedColumnFormula>
    </tableColumn>
    <tableColumn id="15" xr3:uid="{00000000-0010-0000-0700-00000F000000}" name="Columna1" dataDxfId="640" totalsRowDxfId="639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Recreation Expenses" altTextSummary="Escriba los gastos de ocio para el año, separados por meses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blDues" displayName="tblDues" ref="C88:Q96" totalsRowCount="1" headerRowDxfId="638" dataDxfId="637" totalsRowDxfId="636">
  <autoFilter ref="C88:Q95" xr:uid="{00000000-0009-0000-0100-000009000000}"/>
  <tableColumns count="15">
    <tableColumn id="1" xr3:uid="{00000000-0010-0000-0800-000001000000}" name="Cuotas y suscripciones" totalsRowLabel="Total" dataDxfId="635" totalsRowDxfId="634"/>
    <tableColumn id="2" xr3:uid="{00000000-0010-0000-0800-000002000000}" name="Ene" totalsRowFunction="sum" dataDxfId="633" totalsRowDxfId="632"/>
    <tableColumn id="3" xr3:uid="{00000000-0010-0000-0800-000003000000}" name="Feb" totalsRowFunction="sum" dataDxfId="631" totalsRowDxfId="630"/>
    <tableColumn id="4" xr3:uid="{00000000-0010-0000-0800-000004000000}" name="Marzo" totalsRowFunction="sum" dataDxfId="629" totalsRowDxfId="628"/>
    <tableColumn id="5" xr3:uid="{00000000-0010-0000-0800-000005000000}" name="Abril" totalsRowFunction="sum" dataDxfId="627" totalsRowDxfId="626"/>
    <tableColumn id="6" xr3:uid="{00000000-0010-0000-0800-000006000000}" name="Mayo" totalsRowFunction="sum" dataDxfId="625" totalsRowDxfId="624"/>
    <tableColumn id="7" xr3:uid="{00000000-0010-0000-0800-000007000000}" name="Junio" totalsRowFunction="sum" dataDxfId="623" totalsRowDxfId="622"/>
    <tableColumn id="8" xr3:uid="{00000000-0010-0000-0800-000008000000}" name="Julio" totalsRowFunction="sum" dataDxfId="621" totalsRowDxfId="620"/>
    <tableColumn id="9" xr3:uid="{00000000-0010-0000-0800-000009000000}" name="Ago" totalsRowFunction="sum" dataDxfId="619" totalsRowDxfId="618"/>
    <tableColumn id="10" xr3:uid="{00000000-0010-0000-0800-00000A000000}" name="Sept" totalsRowFunction="sum" dataDxfId="617" totalsRowDxfId="616"/>
    <tableColumn id="11" xr3:uid="{00000000-0010-0000-0800-00000B000000}" name="Oct" totalsRowFunction="sum" dataDxfId="615" totalsRowDxfId="614"/>
    <tableColumn id="12" xr3:uid="{00000000-0010-0000-0800-00000C000000}" name="Nov" totalsRowFunction="sum" dataDxfId="613" totalsRowDxfId="612"/>
    <tableColumn id="13" xr3:uid="{00000000-0010-0000-0800-00000D000000}" name="Dic" totalsRowFunction="sum" dataDxfId="611" totalsRowDxfId="610"/>
    <tableColumn id="14" xr3:uid="{00000000-0010-0000-0800-00000E000000}" name="Año" totalsRowFunction="sum" dataDxfId="609" totalsRowDxfId="608">
      <calculatedColumnFormula>SUM(tblDues[[#This Row],[Ene]:[Dic]])</calculatedColumnFormula>
    </tableColumn>
    <tableColumn id="15" xr3:uid="{00000000-0010-0000-0800-00000F000000}" name="Columna1" dataDxfId="607" totalsRowDxfId="606"/>
  </tableColumns>
  <tableStyleInfo showFirstColumn="0" showLastColumn="0" showRowStripes="0" showColumnStripes="1"/>
  <extLst>
    <ext xmlns:x14="http://schemas.microsoft.com/office/spreadsheetml/2009/9/main" uri="{504A1905-F514-4f6f-8877-14C23A59335A}">
      <x14:table altText="Dues &amp; Subscription Expenses" altTextSummary="Especifique las cuotas y los gastos de suscripción para el año, separados por meses."/>
    </ext>
  </extLst>
</table>
</file>

<file path=xl/theme/theme1.xml><?xml version="1.0" encoding="utf-8"?>
<a:theme xmlns:a="http://schemas.openxmlformats.org/drawingml/2006/main" name="Office Theme">
  <a:themeElements>
    <a:clrScheme name="Custom 23">
      <a:dk1>
        <a:sysClr val="windowText" lastClr="000000"/>
      </a:dk1>
      <a:lt1>
        <a:sysClr val="window" lastClr="FFFFFF"/>
      </a:lt1>
      <a:dk2>
        <a:srgbClr val="304157"/>
      </a:dk2>
      <a:lt2>
        <a:srgbClr val="E7E6E6"/>
      </a:lt2>
      <a:accent1>
        <a:srgbClr val="1B79AD"/>
      </a:accent1>
      <a:accent2>
        <a:srgbClr val="1D7B7D"/>
      </a:accent2>
      <a:accent3>
        <a:srgbClr val="EF4755"/>
      </a:accent3>
      <a:accent4>
        <a:srgbClr val="FFC000"/>
      </a:accent4>
      <a:accent5>
        <a:srgbClr val="176795"/>
      </a:accent5>
      <a:accent6>
        <a:srgbClr val="4D81BF"/>
      </a:accent6>
      <a:hlink>
        <a:srgbClr val="F78F2F"/>
      </a:hlink>
      <a:folHlink>
        <a:srgbClr val="F78F2F"/>
      </a:folHlink>
    </a:clrScheme>
    <a:fontScheme name="Custom 13">
      <a:majorFont>
        <a:latin typeface="Gill Sans MT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9.xml"/><Relationship Id="rId13" Type="http://schemas.openxmlformats.org/officeDocument/2006/relationships/table" Target="../tables/table24.xml"/><Relationship Id="rId3" Type="http://schemas.openxmlformats.org/officeDocument/2006/relationships/table" Target="../tables/table14.xml"/><Relationship Id="rId7" Type="http://schemas.openxmlformats.org/officeDocument/2006/relationships/table" Target="../tables/table18.xml"/><Relationship Id="rId12" Type="http://schemas.openxmlformats.org/officeDocument/2006/relationships/table" Target="../tables/table2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7.xml"/><Relationship Id="rId11" Type="http://schemas.openxmlformats.org/officeDocument/2006/relationships/table" Target="../tables/table22.xml"/><Relationship Id="rId5" Type="http://schemas.openxmlformats.org/officeDocument/2006/relationships/table" Target="../tables/table16.xml"/><Relationship Id="rId15" Type="http://schemas.openxmlformats.org/officeDocument/2006/relationships/table" Target="../tables/table26.xml"/><Relationship Id="rId10" Type="http://schemas.openxmlformats.org/officeDocument/2006/relationships/table" Target="../tables/table21.xml"/><Relationship Id="rId4" Type="http://schemas.openxmlformats.org/officeDocument/2006/relationships/table" Target="../tables/table15.xml"/><Relationship Id="rId9" Type="http://schemas.openxmlformats.org/officeDocument/2006/relationships/table" Target="../tables/table20.xml"/><Relationship Id="rId14" Type="http://schemas.openxmlformats.org/officeDocument/2006/relationships/table" Target="../tables/table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R132"/>
  <sheetViews>
    <sheetView showGridLines="0" tabSelected="1" topLeftCell="A105" zoomScale="96" zoomScaleNormal="96" workbookViewId="0">
      <selection activeCell="G112" sqref="G112"/>
    </sheetView>
  </sheetViews>
  <sheetFormatPr baseColWidth="10" defaultColWidth="9" defaultRowHeight="12.6" x14ac:dyDescent="0.2"/>
  <cols>
    <col min="1" max="1" width="3.08984375" style="2" customWidth="1"/>
    <col min="2" max="2" width="1.90625" customWidth="1"/>
    <col min="3" max="3" width="46.26953125" bestFit="1" customWidth="1"/>
    <col min="4" max="4" width="14.453125" style="1" bestFit="1" customWidth="1"/>
    <col min="5" max="16" width="12.36328125" style="1" customWidth="1"/>
    <col min="17" max="17" width="12.36328125" customWidth="1"/>
  </cols>
  <sheetData>
    <row r="1" spans="1:17" s="60" customFormat="1" ht="87" customHeight="1" x14ac:dyDescent="0.4"/>
    <row r="2" spans="1:17" s="61" customFormat="1" ht="35.25" customHeight="1" x14ac:dyDescent="0.8">
      <c r="A2" s="62"/>
      <c r="C2" s="68"/>
      <c r="D2" s="68"/>
      <c r="E2" s="63"/>
      <c r="F2" s="63"/>
      <c r="G2" s="63"/>
      <c r="H2" s="63"/>
      <c r="I2" s="64"/>
      <c r="J2" s="63"/>
      <c r="K2" s="63"/>
      <c r="L2" s="63"/>
      <c r="M2" s="63"/>
      <c r="N2" s="63"/>
      <c r="O2" s="63"/>
      <c r="P2" s="63"/>
    </row>
    <row r="3" spans="1:17" ht="26.25" customHeight="1" x14ac:dyDescent="0.2"/>
    <row r="4" spans="1:17" ht="21" customHeight="1" x14ac:dyDescent="0.2">
      <c r="B4" s="67"/>
      <c r="C4" s="8" t="s">
        <v>0</v>
      </c>
      <c r="D4" s="9" t="s">
        <v>78</v>
      </c>
      <c r="E4" s="9" t="s">
        <v>80</v>
      </c>
      <c r="F4" s="9" t="s">
        <v>82</v>
      </c>
      <c r="G4" s="9" t="s">
        <v>84</v>
      </c>
      <c r="H4" s="9" t="s">
        <v>86</v>
      </c>
      <c r="I4" s="9" t="s">
        <v>88</v>
      </c>
      <c r="J4" s="9" t="s">
        <v>90</v>
      </c>
      <c r="K4" s="9" t="s">
        <v>92</v>
      </c>
      <c r="L4" s="9" t="s">
        <v>94</v>
      </c>
      <c r="M4" s="9" t="s">
        <v>96</v>
      </c>
      <c r="N4" s="9" t="s">
        <v>98</v>
      </c>
      <c r="O4" s="9" t="s">
        <v>100</v>
      </c>
      <c r="P4" s="9" t="s">
        <v>102</v>
      </c>
      <c r="Q4" s="9"/>
    </row>
    <row r="5" spans="1:17" ht="21" customHeight="1" x14ac:dyDescent="0.2">
      <c r="B5" s="67"/>
      <c r="C5" s="10" t="s">
        <v>1</v>
      </c>
      <c r="D5" s="40"/>
      <c r="E5" s="40"/>
      <c r="F5" s="41"/>
      <c r="G5" s="42"/>
      <c r="H5" s="41"/>
      <c r="I5" s="41"/>
      <c r="J5" s="41"/>
      <c r="K5" s="41"/>
      <c r="L5" s="41"/>
      <c r="M5" s="41"/>
      <c r="N5" s="41"/>
      <c r="O5" s="41"/>
      <c r="P5" s="41"/>
      <c r="Q5" s="17" t="s">
        <v>104</v>
      </c>
    </row>
    <row r="6" spans="1:17" ht="15.9" hidden="1" customHeight="1" x14ac:dyDescent="0.2">
      <c r="B6" s="67"/>
      <c r="C6" t="s">
        <v>1</v>
      </c>
      <c r="D6" s="43" t="s">
        <v>79</v>
      </c>
      <c r="E6" s="43" t="s">
        <v>81</v>
      </c>
      <c r="F6" s="43" t="s">
        <v>83</v>
      </c>
      <c r="G6" s="43" t="s">
        <v>85</v>
      </c>
      <c r="H6" s="43" t="s">
        <v>87</v>
      </c>
      <c r="I6" s="43" t="s">
        <v>89</v>
      </c>
      <c r="J6" s="43" t="s">
        <v>91</v>
      </c>
      <c r="K6" s="43" t="s">
        <v>93</v>
      </c>
      <c r="L6" s="43" t="s">
        <v>95</v>
      </c>
      <c r="M6" s="43" t="s">
        <v>97</v>
      </c>
      <c r="N6" s="43" t="s">
        <v>99</v>
      </c>
      <c r="O6" s="43" t="s">
        <v>101</v>
      </c>
      <c r="P6" s="43" t="s">
        <v>103</v>
      </c>
      <c r="Q6" t="s">
        <v>105</v>
      </c>
    </row>
    <row r="7" spans="1:17" ht="15.9" customHeight="1" x14ac:dyDescent="0.2">
      <c r="B7" s="67"/>
      <c r="C7" s="6" t="s">
        <v>110</v>
      </c>
      <c r="D7" s="44">
        <v>500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>
        <f>SUM(tblIncome[[#This Row],[Ene]:[Dic]])</f>
        <v>500</v>
      </c>
      <c r="Q7" s="32"/>
    </row>
    <row r="8" spans="1:17" ht="15.9" customHeight="1" x14ac:dyDescent="0.2">
      <c r="B8" s="67"/>
      <c r="C8" s="6" t="s">
        <v>2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>
        <f>SUM(tblIncome[[#This Row],[Ene]:[Dic]])</f>
        <v>0</v>
      </c>
      <c r="Q8" s="33"/>
    </row>
    <row r="9" spans="1:17" ht="15.9" customHeight="1" x14ac:dyDescent="0.2">
      <c r="B9" s="67"/>
      <c r="C9" s="6" t="s">
        <v>111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>
        <f>SUM(tblIncome[[#This Row],[Ene]:[Dic]])</f>
        <v>0</v>
      </c>
      <c r="Q9" s="32"/>
    </row>
    <row r="10" spans="1:17" ht="21" customHeight="1" x14ac:dyDescent="0.2">
      <c r="B10" s="67"/>
      <c r="C10" s="65" t="s">
        <v>3</v>
      </c>
      <c r="D10" s="45">
        <f>SUBTOTAL(109,tblIncome[Ene])</f>
        <v>500</v>
      </c>
      <c r="E10" s="45">
        <f>SUBTOTAL(109,tblIncome[Feb])</f>
        <v>0</v>
      </c>
      <c r="F10" s="45">
        <f>SUBTOTAL(109,tblIncome[Marzo])</f>
        <v>0</v>
      </c>
      <c r="G10" s="45">
        <f>SUBTOTAL(109,tblIncome[Abril])</f>
        <v>0</v>
      </c>
      <c r="H10" s="45">
        <f>SUBTOTAL(109,tblIncome[Mayo])</f>
        <v>0</v>
      </c>
      <c r="I10" s="45">
        <f>SUBTOTAL(109,tblIncome[Junio])</f>
        <v>0</v>
      </c>
      <c r="J10" s="45">
        <f>SUBTOTAL(109,tblIncome[Julio])</f>
        <v>0</v>
      </c>
      <c r="K10" s="45">
        <f>SUBTOTAL(109,tblIncome[Ago])</f>
        <v>0</v>
      </c>
      <c r="L10" s="45">
        <f>SUBTOTAL(109,tblIncome[Sept])</f>
        <v>0</v>
      </c>
      <c r="M10" s="45">
        <f>SUBTOTAL(109,tblIncome[Oct])</f>
        <v>0</v>
      </c>
      <c r="N10" s="45">
        <f>SUBTOTAL(109,tblIncome[Nov])</f>
        <v>0</v>
      </c>
      <c r="O10" s="45">
        <f>SUBTOTAL(109,tblIncome[Dic])</f>
        <v>0</v>
      </c>
      <c r="P10" s="45">
        <f>SUBTOTAL(109,tblIncome[Año])</f>
        <v>500</v>
      </c>
      <c r="Q10" s="14"/>
    </row>
    <row r="11" spans="1:17" ht="8.1" customHeight="1" x14ac:dyDescent="0.2">
      <c r="A11"/>
      <c r="B11" s="6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1:17" ht="24" customHeight="1" x14ac:dyDescent="0.2">
      <c r="D12"/>
      <c r="E12"/>
      <c r="F12"/>
      <c r="G12"/>
      <c r="H12"/>
      <c r="I12"/>
      <c r="J12"/>
      <c r="K12"/>
      <c r="L12"/>
      <c r="M12"/>
      <c r="N12"/>
      <c r="O12"/>
      <c r="P12"/>
    </row>
    <row r="13" spans="1:17" ht="21" customHeight="1" x14ac:dyDescent="0.2">
      <c r="B13" s="67"/>
      <c r="C13" s="8" t="s">
        <v>4</v>
      </c>
      <c r="D13" s="9" t="s">
        <v>78</v>
      </c>
      <c r="E13" s="9" t="s">
        <v>80</v>
      </c>
      <c r="F13" s="9" t="s">
        <v>82</v>
      </c>
      <c r="G13" s="9" t="s">
        <v>84</v>
      </c>
      <c r="H13" s="9" t="s">
        <v>86</v>
      </c>
      <c r="I13" s="9" t="s">
        <v>88</v>
      </c>
      <c r="J13" s="9" t="s">
        <v>90</v>
      </c>
      <c r="K13" s="9" t="s">
        <v>92</v>
      </c>
      <c r="L13" s="9" t="s">
        <v>94</v>
      </c>
      <c r="M13" s="9" t="s">
        <v>96</v>
      </c>
      <c r="N13" s="9" t="s">
        <v>98</v>
      </c>
      <c r="O13" s="9" t="s">
        <v>100</v>
      </c>
      <c r="P13" s="9" t="s">
        <v>102</v>
      </c>
      <c r="Q13" s="9"/>
    </row>
    <row r="14" spans="1:17" ht="21" customHeight="1" x14ac:dyDescent="0.2">
      <c r="B14" s="67"/>
      <c r="C14" s="15" t="s">
        <v>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.9" hidden="1" customHeight="1" x14ac:dyDescent="0.2">
      <c r="B15" s="67"/>
      <c r="C15" t="s">
        <v>6</v>
      </c>
      <c r="D15" t="s">
        <v>79</v>
      </c>
      <c r="E15" t="s">
        <v>81</v>
      </c>
      <c r="F15" t="s">
        <v>83</v>
      </c>
      <c r="G15" t="s">
        <v>85</v>
      </c>
      <c r="H15" t="s">
        <v>87</v>
      </c>
      <c r="I15" t="s">
        <v>89</v>
      </c>
      <c r="J15" t="s">
        <v>91</v>
      </c>
      <c r="K15" t="s">
        <v>93</v>
      </c>
      <c r="L15" t="s">
        <v>95</v>
      </c>
      <c r="M15" t="s">
        <v>97</v>
      </c>
      <c r="N15" t="s">
        <v>99</v>
      </c>
      <c r="O15" t="s">
        <v>101</v>
      </c>
      <c r="P15" t="s">
        <v>103</v>
      </c>
      <c r="Q15" t="s">
        <v>105</v>
      </c>
    </row>
    <row r="16" spans="1:17" ht="15.9" customHeight="1" x14ac:dyDescent="0.2">
      <c r="B16" s="67"/>
      <c r="C16" s="5" t="s">
        <v>109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>
        <f>SUM(tblHome[[#This Row],[Ene]:[Dic]])</f>
        <v>0</v>
      </c>
      <c r="Q16" s="34"/>
    </row>
    <row r="17" spans="1:18" ht="15.9" customHeight="1" x14ac:dyDescent="0.2">
      <c r="B17" s="67"/>
      <c r="C17" s="5" t="s">
        <v>7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>
        <f>SUM(tblHome[[#This Row],[Ene]:[Dic]])</f>
        <v>0</v>
      </c>
      <c r="Q17" s="35"/>
    </row>
    <row r="18" spans="1:18" ht="15.9" customHeight="1" x14ac:dyDescent="0.2">
      <c r="B18" s="67"/>
      <c r="C18" s="5" t="s">
        <v>8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>
        <f>SUM(tblHome[[#This Row],[Ene]:[Dic]])</f>
        <v>0</v>
      </c>
      <c r="Q18" s="34"/>
    </row>
    <row r="19" spans="1:18" ht="15.9" customHeight="1" x14ac:dyDescent="0.2">
      <c r="B19" s="67"/>
      <c r="C19" s="5" t="s">
        <v>9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>
        <f>SUM(tblHome[[#This Row],[Ene]:[Dic]])</f>
        <v>0</v>
      </c>
      <c r="Q19" s="35"/>
      <c r="R19" s="7"/>
    </row>
    <row r="20" spans="1:18" ht="15.9" customHeight="1" x14ac:dyDescent="0.2">
      <c r="B20" s="67"/>
      <c r="C20" s="5" t="s">
        <v>10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>
        <f>SUM(tblHome[[#This Row],[Ene]:[Dic]])</f>
        <v>0</v>
      </c>
      <c r="Q20" s="34"/>
    </row>
    <row r="21" spans="1:18" ht="21" customHeight="1" x14ac:dyDescent="0.2">
      <c r="A21"/>
      <c r="B21" s="67"/>
      <c r="C21" s="66" t="s">
        <v>3</v>
      </c>
      <c r="D21" s="47">
        <f>SUBTOTAL(109,tblHome[Ene])</f>
        <v>0</v>
      </c>
      <c r="E21" s="47">
        <f>SUBTOTAL(109,tblHome[Feb])</f>
        <v>0</v>
      </c>
      <c r="F21" s="47">
        <f>SUBTOTAL(109,tblHome[Marzo])</f>
        <v>0</v>
      </c>
      <c r="G21" s="47">
        <f>SUBTOTAL(109,tblHome[Abril])</f>
        <v>0</v>
      </c>
      <c r="H21" s="47">
        <f>SUBTOTAL(109,tblHome[Mayo])</f>
        <v>0</v>
      </c>
      <c r="I21" s="47">
        <f>SUBTOTAL(109,tblHome[Junio])</f>
        <v>0</v>
      </c>
      <c r="J21" s="47">
        <f>SUBTOTAL(109,tblHome[Julio])</f>
        <v>0</v>
      </c>
      <c r="K21" s="47">
        <f>SUBTOTAL(109,tblHome[Ago])</f>
        <v>0</v>
      </c>
      <c r="L21" s="47">
        <f>SUBTOTAL(109,tblHome[Sept])</f>
        <v>0</v>
      </c>
      <c r="M21" s="47">
        <f>SUBTOTAL(109,tblHome[Oct])</f>
        <v>0</v>
      </c>
      <c r="N21" s="47">
        <f>SUBTOTAL(109,tblHome[Nov])</f>
        <v>0</v>
      </c>
      <c r="O21" s="47">
        <f>SUBTOTAL(109,tblHome[Dic])</f>
        <v>0</v>
      </c>
      <c r="P21" s="47">
        <f>SUBTOTAL(109,tblHome[Año])</f>
        <v>0</v>
      </c>
      <c r="Q21" s="16"/>
    </row>
    <row r="22" spans="1:18" ht="8.1" customHeight="1" x14ac:dyDescent="0.2">
      <c r="B22" s="6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8" ht="24" customHeight="1" x14ac:dyDescent="0.2"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8" ht="21" customHeight="1" x14ac:dyDescent="0.2">
      <c r="B24" s="67"/>
      <c r="C24" s="31" t="s">
        <v>11</v>
      </c>
      <c r="D24" s="13"/>
      <c r="E24" s="3"/>
      <c r="F24" s="13"/>
      <c r="G24" s="3"/>
      <c r="H24" s="13"/>
      <c r="I24" s="3"/>
      <c r="J24" s="13"/>
      <c r="K24" s="3"/>
      <c r="L24" s="13"/>
      <c r="M24" s="3"/>
      <c r="N24" s="13"/>
      <c r="O24" s="3"/>
      <c r="P24" s="13"/>
      <c r="Q24" s="3"/>
    </row>
    <row r="25" spans="1:18" ht="15.9" hidden="1" customHeight="1" x14ac:dyDescent="0.2">
      <c r="B25" s="67"/>
      <c r="C25" t="s">
        <v>12</v>
      </c>
      <c r="D25" t="s">
        <v>112</v>
      </c>
      <c r="E25" t="s">
        <v>113</v>
      </c>
      <c r="F25" t="s">
        <v>114</v>
      </c>
      <c r="G25" t="s">
        <v>85</v>
      </c>
      <c r="H25" t="s">
        <v>87</v>
      </c>
      <c r="I25" t="s">
        <v>89</v>
      </c>
      <c r="J25" t="s">
        <v>91</v>
      </c>
      <c r="K25" t="s">
        <v>93</v>
      </c>
      <c r="L25" t="s">
        <v>95</v>
      </c>
      <c r="M25" t="s">
        <v>97</v>
      </c>
      <c r="N25" t="s">
        <v>99</v>
      </c>
      <c r="O25" t="s">
        <v>101</v>
      </c>
      <c r="P25" t="s">
        <v>103</v>
      </c>
      <c r="Q25" t="s">
        <v>105</v>
      </c>
    </row>
    <row r="26" spans="1:18" ht="15.9" customHeight="1" x14ac:dyDescent="0.2">
      <c r="B26" s="67"/>
      <c r="C26" s="21" t="s">
        <v>13</v>
      </c>
      <c r="D26" s="48"/>
      <c r="E26" s="49"/>
      <c r="F26" s="48"/>
      <c r="G26" s="49"/>
      <c r="H26" s="48"/>
      <c r="I26" s="49"/>
      <c r="J26" s="48"/>
      <c r="K26" s="49"/>
      <c r="L26" s="48"/>
      <c r="M26" s="49"/>
      <c r="N26" s="48"/>
      <c r="O26" s="49"/>
      <c r="P26" s="48">
        <f>SUM(tblDaily[[#This Row],[Columna2]:[Dic]])</f>
        <v>0</v>
      </c>
      <c r="Q26" s="37"/>
    </row>
    <row r="27" spans="1:18" ht="15.9" customHeight="1" x14ac:dyDescent="0.2">
      <c r="B27" s="67"/>
      <c r="C27" s="21" t="s">
        <v>14</v>
      </c>
      <c r="D27" s="48"/>
      <c r="E27" s="49"/>
      <c r="F27" s="48"/>
      <c r="G27" s="49"/>
      <c r="H27" s="48"/>
      <c r="I27" s="49"/>
      <c r="J27" s="48"/>
      <c r="K27" s="49"/>
      <c r="L27" s="48"/>
      <c r="M27" s="49"/>
      <c r="N27" s="48"/>
      <c r="O27" s="49"/>
      <c r="P27" s="48">
        <f>SUM(tblDaily[[#This Row],[Columna2]:[Dic]])</f>
        <v>0</v>
      </c>
      <c r="Q27" s="36"/>
    </row>
    <row r="28" spans="1:18" ht="15.9" customHeight="1" x14ac:dyDescent="0.2">
      <c r="B28" s="67"/>
      <c r="C28" s="21" t="s">
        <v>15</v>
      </c>
      <c r="D28" s="48"/>
      <c r="E28" s="49"/>
      <c r="F28" s="48"/>
      <c r="G28" s="49"/>
      <c r="H28" s="48"/>
      <c r="I28" s="49"/>
      <c r="J28" s="48"/>
      <c r="K28" s="49"/>
      <c r="L28" s="48"/>
      <c r="M28" s="49"/>
      <c r="N28" s="48"/>
      <c r="O28" s="49"/>
      <c r="P28" s="48">
        <f>SUM(tblDaily[[#This Row],[Columna2]:[Dic]])</f>
        <v>0</v>
      </c>
      <c r="Q28" s="37"/>
    </row>
    <row r="29" spans="1:18" ht="15.9" customHeight="1" x14ac:dyDescent="0.2">
      <c r="B29" s="67"/>
      <c r="C29" s="21" t="s">
        <v>16</v>
      </c>
      <c r="D29" s="48"/>
      <c r="E29" s="49"/>
      <c r="F29" s="48"/>
      <c r="G29" s="49"/>
      <c r="H29" s="48"/>
      <c r="I29" s="49"/>
      <c r="J29" s="48"/>
      <c r="K29" s="49"/>
      <c r="L29" s="48"/>
      <c r="M29" s="49"/>
      <c r="N29" s="48"/>
      <c r="O29" s="49"/>
      <c r="P29" s="48">
        <f>SUM(tblDaily[[#This Row],[Columna2]:[Dic]])</f>
        <v>0</v>
      </c>
      <c r="Q29" s="36"/>
    </row>
    <row r="30" spans="1:18" ht="15.9" customHeight="1" x14ac:dyDescent="0.2">
      <c r="B30" s="67"/>
      <c r="C30" s="21" t="s">
        <v>17</v>
      </c>
      <c r="D30" s="48"/>
      <c r="E30" s="49"/>
      <c r="F30" s="48"/>
      <c r="G30" s="49"/>
      <c r="H30" s="48"/>
      <c r="I30" s="49"/>
      <c r="J30" s="48"/>
      <c r="K30" s="49"/>
      <c r="L30" s="48"/>
      <c r="M30" s="49"/>
      <c r="N30" s="48"/>
      <c r="O30" s="49"/>
      <c r="P30" s="48">
        <f>SUM(tblDaily[[#This Row],[Columna2]:[Dic]])</f>
        <v>0</v>
      </c>
      <c r="Q30" s="37"/>
    </row>
    <row r="31" spans="1:18" ht="19.5" customHeight="1" x14ac:dyDescent="0.2">
      <c r="A31"/>
      <c r="B31" s="67"/>
      <c r="C31" s="21" t="s">
        <v>18</v>
      </c>
      <c r="D31" s="48"/>
      <c r="E31" s="49"/>
      <c r="F31" s="48"/>
      <c r="G31" s="49"/>
      <c r="H31" s="48"/>
      <c r="I31" s="49"/>
      <c r="J31" s="48"/>
      <c r="K31" s="49"/>
      <c r="L31" s="48"/>
      <c r="M31" s="49"/>
      <c r="N31" s="48"/>
      <c r="O31" s="49"/>
      <c r="P31" s="48">
        <f>SUM(tblDaily[[#This Row],[Columna2]:[Dic]])</f>
        <v>0</v>
      </c>
      <c r="Q31" s="36"/>
    </row>
    <row r="32" spans="1:18" ht="21" customHeight="1" x14ac:dyDescent="0.2">
      <c r="B32" s="67"/>
      <c r="C32" s="20" t="s">
        <v>3</v>
      </c>
      <c r="D32" s="50">
        <f>SUBTOTAL(109,tblDaily[Columna2])</f>
        <v>0</v>
      </c>
      <c r="E32" s="51">
        <f>SUBTOTAL(109,tblDaily[Columna3])</f>
        <v>0</v>
      </c>
      <c r="F32" s="50">
        <f>SUBTOTAL(109,tblDaily[Columna4])</f>
        <v>0</v>
      </c>
      <c r="G32" s="51">
        <f>SUBTOTAL(109,tblDaily[Abril])</f>
        <v>0</v>
      </c>
      <c r="H32" s="50">
        <f>SUBTOTAL(109,tblDaily[Mayo])</f>
        <v>0</v>
      </c>
      <c r="I32" s="51">
        <f>SUBTOTAL(109,tblDaily[Junio])</f>
        <v>0</v>
      </c>
      <c r="J32" s="50">
        <f>SUBTOTAL(109,tblDaily[Julio])</f>
        <v>0</v>
      </c>
      <c r="K32" s="51">
        <f>SUBTOTAL(109,tblDaily[Ago])</f>
        <v>0</v>
      </c>
      <c r="L32" s="50">
        <f>SUBTOTAL(109,tblDaily[Sept])</f>
        <v>0</v>
      </c>
      <c r="M32" s="51">
        <f>SUBTOTAL(109,tblDaily[Oct])</f>
        <v>0</v>
      </c>
      <c r="N32" s="50">
        <f>SUBTOTAL(109,tblDaily[Nov])</f>
        <v>0</v>
      </c>
      <c r="O32" s="51">
        <f>SUBTOTAL(109,tblDaily[Dic])</f>
        <v>0</v>
      </c>
      <c r="P32" s="50">
        <f>SUBTOTAL(109,tblDaily[Año])</f>
        <v>0</v>
      </c>
      <c r="Q32" s="11"/>
    </row>
    <row r="33" spans="1:17" ht="8.1" customHeight="1" x14ac:dyDescent="0.2">
      <c r="B33" s="67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1:17" ht="20.100000000000001" customHeight="1" x14ac:dyDescent="0.2"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7" ht="21" customHeight="1" x14ac:dyDescent="0.2">
      <c r="B35" s="67"/>
      <c r="C35" s="18" t="s">
        <v>19</v>
      </c>
      <c r="D35" s="13"/>
      <c r="E35" s="3"/>
      <c r="F35" s="13"/>
      <c r="G35" s="3"/>
      <c r="H35" s="13"/>
      <c r="I35" s="3"/>
      <c r="J35" s="13"/>
      <c r="K35" s="3"/>
      <c r="L35" s="13"/>
      <c r="M35" s="3"/>
      <c r="N35" s="13"/>
      <c r="O35" s="3"/>
      <c r="P35" s="13"/>
      <c r="Q35" s="3"/>
    </row>
    <row r="36" spans="1:17" ht="15.9" hidden="1" customHeight="1" x14ac:dyDescent="0.2">
      <c r="B36" s="67"/>
      <c r="C36" t="s">
        <v>20</v>
      </c>
      <c r="D36" t="s">
        <v>112</v>
      </c>
      <c r="E36" t="s">
        <v>113</v>
      </c>
      <c r="F36" t="s">
        <v>114</v>
      </c>
      <c r="G36" t="s">
        <v>85</v>
      </c>
      <c r="H36" t="s">
        <v>87</v>
      </c>
      <c r="I36" t="s">
        <v>89</v>
      </c>
      <c r="J36" t="s">
        <v>91</v>
      </c>
      <c r="K36" t="s">
        <v>93</v>
      </c>
      <c r="L36" t="s">
        <v>95</v>
      </c>
      <c r="M36" t="s">
        <v>97</v>
      </c>
      <c r="N36" t="s">
        <v>99</v>
      </c>
      <c r="O36" t="s">
        <v>101</v>
      </c>
      <c r="P36" t="s">
        <v>103</v>
      </c>
      <c r="Q36" t="s">
        <v>105</v>
      </c>
    </row>
    <row r="37" spans="1:17" ht="15.9" customHeight="1" x14ac:dyDescent="0.2">
      <c r="B37" s="67"/>
      <c r="C37" s="4" t="s">
        <v>21</v>
      </c>
      <c r="D37" s="48"/>
      <c r="E37" s="52"/>
      <c r="F37" s="48"/>
      <c r="G37" s="52"/>
      <c r="H37" s="48"/>
      <c r="I37" s="52"/>
      <c r="J37" s="48"/>
      <c r="K37" s="52"/>
      <c r="L37" s="48"/>
      <c r="M37" s="52"/>
      <c r="N37" s="48"/>
      <c r="O37" s="52"/>
      <c r="P37" s="48">
        <f>SUM(tblTransportation[[#This Row],[Columna2]:[Dic]])</f>
        <v>0</v>
      </c>
      <c r="Q37" s="37"/>
    </row>
    <row r="38" spans="1:17" ht="15.9" customHeight="1" x14ac:dyDescent="0.2">
      <c r="B38" s="67"/>
      <c r="C38" s="4" t="s">
        <v>7</v>
      </c>
      <c r="D38" s="48"/>
      <c r="E38" s="52"/>
      <c r="F38" s="48"/>
      <c r="G38" s="52"/>
      <c r="H38" s="48"/>
      <c r="I38" s="52"/>
      <c r="J38" s="48"/>
      <c r="K38" s="52"/>
      <c r="L38" s="48"/>
      <c r="M38" s="52"/>
      <c r="N38" s="48"/>
      <c r="O38" s="52"/>
      <c r="P38" s="48">
        <f>SUM(tblTransportation[[#This Row],[Columna2]:[Dic]])</f>
        <v>0</v>
      </c>
      <c r="Q38" s="38"/>
    </row>
    <row r="39" spans="1:17" ht="15.9" customHeight="1" x14ac:dyDescent="0.2">
      <c r="B39" s="67"/>
      <c r="C39" s="4" t="s">
        <v>8</v>
      </c>
      <c r="D39" s="48"/>
      <c r="E39" s="52"/>
      <c r="F39" s="48"/>
      <c r="G39" s="52"/>
      <c r="H39" s="48"/>
      <c r="I39" s="52"/>
      <c r="J39" s="48"/>
      <c r="K39" s="52"/>
      <c r="L39" s="48"/>
      <c r="M39" s="52"/>
      <c r="N39" s="48"/>
      <c r="O39" s="52"/>
      <c r="P39" s="48">
        <f>SUM(tblTransportation[[#This Row],[Columna2]:[Dic]])</f>
        <v>0</v>
      </c>
      <c r="Q39" s="37"/>
    </row>
    <row r="40" spans="1:17" ht="15.9" customHeight="1" x14ac:dyDescent="0.2">
      <c r="B40" s="67"/>
      <c r="C40" s="4" t="s">
        <v>22</v>
      </c>
      <c r="D40" s="48"/>
      <c r="E40" s="52"/>
      <c r="F40" s="48"/>
      <c r="G40" s="52"/>
      <c r="H40" s="48"/>
      <c r="I40" s="52"/>
      <c r="J40" s="48"/>
      <c r="K40" s="52"/>
      <c r="L40" s="48"/>
      <c r="M40" s="52"/>
      <c r="N40" s="48"/>
      <c r="O40" s="52"/>
      <c r="P40" s="48">
        <f>SUM(tblTransportation[[#This Row],[Columna2]:[Dic]])</f>
        <v>0</v>
      </c>
      <c r="Q40" s="38"/>
    </row>
    <row r="41" spans="1:17" ht="15.9" customHeight="1" x14ac:dyDescent="0.2">
      <c r="A41"/>
      <c r="B41" s="67"/>
      <c r="C41" s="4" t="s">
        <v>23</v>
      </c>
      <c r="D41" s="48"/>
      <c r="E41" s="52"/>
      <c r="F41" s="48"/>
      <c r="G41" s="52"/>
      <c r="H41" s="48"/>
      <c r="I41" s="52"/>
      <c r="J41" s="48"/>
      <c r="K41" s="52"/>
      <c r="L41" s="48"/>
      <c r="M41" s="52"/>
      <c r="N41" s="48"/>
      <c r="O41" s="52"/>
      <c r="P41" s="48">
        <f>SUM(tblTransportation[[#This Row],[Columna2]:[Dic]])</f>
        <v>0</v>
      </c>
      <c r="Q41" s="37"/>
    </row>
    <row r="42" spans="1:17" ht="15.9" customHeight="1" x14ac:dyDescent="0.2">
      <c r="B42" s="67"/>
      <c r="C42" s="4" t="s">
        <v>24</v>
      </c>
      <c r="D42" s="48"/>
      <c r="E42" s="52"/>
      <c r="F42" s="48"/>
      <c r="G42" s="52"/>
      <c r="H42" s="48"/>
      <c r="I42" s="52"/>
      <c r="J42" s="48"/>
      <c r="K42" s="52"/>
      <c r="L42" s="48"/>
      <c r="M42" s="52"/>
      <c r="N42" s="48"/>
      <c r="O42" s="52"/>
      <c r="P42" s="48">
        <f>SUM(tblTransportation[[#This Row],[Columna2]:[Dic]])</f>
        <v>0</v>
      </c>
      <c r="Q42" s="38"/>
    </row>
    <row r="43" spans="1:17" ht="21" customHeight="1" x14ac:dyDescent="0.2">
      <c r="B43" s="67"/>
      <c r="C43" s="20" t="s">
        <v>3</v>
      </c>
      <c r="D43" s="50">
        <f>SUBTOTAL(109,tblTransportation[Columna2])</f>
        <v>0</v>
      </c>
      <c r="E43" s="51">
        <f>SUBTOTAL(109,tblTransportation[Columna3])</f>
        <v>0</v>
      </c>
      <c r="F43" s="50">
        <f>SUBTOTAL(109,tblTransportation[Columna4])</f>
        <v>0</v>
      </c>
      <c r="G43" s="51">
        <f>SUBTOTAL(109,tblTransportation[Abril])</f>
        <v>0</v>
      </c>
      <c r="H43" s="50">
        <f>SUBTOTAL(109,tblTransportation[Mayo])</f>
        <v>0</v>
      </c>
      <c r="I43" s="51">
        <f>SUBTOTAL(109,tblTransportation[Junio])</f>
        <v>0</v>
      </c>
      <c r="J43" s="50">
        <f>SUBTOTAL(109,tblTransportation[Julio])</f>
        <v>0</v>
      </c>
      <c r="K43" s="51">
        <f>SUBTOTAL(109,tblTransportation[Ago])</f>
        <v>0</v>
      </c>
      <c r="L43" s="50">
        <f>SUBTOTAL(109,tblTransportation[Sept])</f>
        <v>0</v>
      </c>
      <c r="M43" s="51">
        <f>SUBTOTAL(109,tblTransportation[Oct])</f>
        <v>0</v>
      </c>
      <c r="N43" s="50">
        <f>SUBTOTAL(109,tblTransportation[Nov])</f>
        <v>0</v>
      </c>
      <c r="O43" s="51">
        <f>SUBTOTAL(109,tblTransportation[Dic])</f>
        <v>0</v>
      </c>
      <c r="P43" s="50">
        <f>SUBTOTAL(109,tblTransportation[Año])</f>
        <v>0</v>
      </c>
      <c r="Q43" s="11"/>
    </row>
    <row r="44" spans="1:17" ht="8.1" customHeight="1" x14ac:dyDescent="0.2">
      <c r="B44" s="67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</row>
    <row r="45" spans="1:17" ht="20.100000000000001" customHeight="1" x14ac:dyDescent="0.2"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7" ht="21" customHeight="1" x14ac:dyDescent="0.2">
      <c r="B46" s="67"/>
      <c r="C46" s="23" t="s">
        <v>25</v>
      </c>
      <c r="D46" s="12"/>
      <c r="E46" s="3"/>
      <c r="F46" s="12"/>
      <c r="G46" s="3"/>
      <c r="H46" s="12"/>
      <c r="I46" s="3"/>
      <c r="J46" s="12"/>
      <c r="K46" s="3"/>
      <c r="L46" s="12"/>
      <c r="M46" s="3"/>
      <c r="N46" s="12"/>
      <c r="O46" s="3"/>
      <c r="P46" s="12"/>
      <c r="Q46" s="3"/>
    </row>
    <row r="47" spans="1:17" ht="21" hidden="1" customHeight="1" x14ac:dyDescent="0.2">
      <c r="B47" s="67"/>
      <c r="C47" t="s">
        <v>26</v>
      </c>
      <c r="D47" t="s">
        <v>112</v>
      </c>
      <c r="E47" t="s">
        <v>113</v>
      </c>
      <c r="F47" t="s">
        <v>114</v>
      </c>
      <c r="G47" t="s">
        <v>85</v>
      </c>
      <c r="H47" t="s">
        <v>87</v>
      </c>
      <c r="I47" t="s">
        <v>89</v>
      </c>
      <c r="J47" t="s">
        <v>91</v>
      </c>
      <c r="K47" t="s">
        <v>93</v>
      </c>
      <c r="L47" t="s">
        <v>95</v>
      </c>
      <c r="M47" t="s">
        <v>97</v>
      </c>
      <c r="N47" t="s">
        <v>99</v>
      </c>
      <c r="O47" t="s">
        <v>101</v>
      </c>
      <c r="P47" t="s">
        <v>103</v>
      </c>
      <c r="Q47" t="s">
        <v>105</v>
      </c>
    </row>
    <row r="48" spans="1:17" ht="15.9" customHeight="1" x14ac:dyDescent="0.2">
      <c r="B48" s="67"/>
      <c r="C48" s="4" t="s">
        <v>27</v>
      </c>
      <c r="D48" s="53"/>
      <c r="E48" s="52"/>
      <c r="F48" s="53"/>
      <c r="G48" s="52"/>
      <c r="H48" s="53"/>
      <c r="I48" s="52"/>
      <c r="J48" s="53"/>
      <c r="K48" s="52"/>
      <c r="L48" s="53"/>
      <c r="M48" s="52"/>
      <c r="N48" s="53"/>
      <c r="O48" s="52"/>
      <c r="P48" s="53">
        <f>SUM(tblEntertainment[[#This Row],[Columna2]:[Dic]])</f>
        <v>0</v>
      </c>
      <c r="Q48" s="37"/>
    </row>
    <row r="49" spans="1:17" ht="15.9" customHeight="1" x14ac:dyDescent="0.2">
      <c r="A49"/>
      <c r="B49" s="67"/>
      <c r="C49" s="4" t="s">
        <v>108</v>
      </c>
      <c r="D49" s="53"/>
      <c r="E49" s="52"/>
      <c r="F49" s="53"/>
      <c r="G49" s="52"/>
      <c r="H49" s="53"/>
      <c r="I49" s="52"/>
      <c r="J49" s="53"/>
      <c r="K49" s="52"/>
      <c r="L49" s="53"/>
      <c r="M49" s="52"/>
      <c r="N49" s="53"/>
      <c r="O49" s="52"/>
      <c r="P49" s="53">
        <f>SUM(tblEntertainment[[#This Row],[Columna2]:[Dic]])</f>
        <v>0</v>
      </c>
      <c r="Q49" s="38"/>
    </row>
    <row r="50" spans="1:17" ht="15.9" customHeight="1" x14ac:dyDescent="0.2">
      <c r="B50" s="67"/>
      <c r="C50" s="4" t="s">
        <v>28</v>
      </c>
      <c r="D50" s="53"/>
      <c r="E50" s="52"/>
      <c r="F50" s="53"/>
      <c r="G50" s="52"/>
      <c r="H50" s="53"/>
      <c r="I50" s="52"/>
      <c r="J50" s="53"/>
      <c r="K50" s="52"/>
      <c r="L50" s="53"/>
      <c r="M50" s="52"/>
      <c r="N50" s="53"/>
      <c r="O50" s="52"/>
      <c r="P50" s="53">
        <f>SUM(tblEntertainment[[#This Row],[Columna2]:[Dic]])</f>
        <v>0</v>
      </c>
      <c r="Q50" s="37"/>
    </row>
    <row r="51" spans="1:17" ht="15.9" customHeight="1" x14ac:dyDescent="0.2">
      <c r="B51" s="67"/>
      <c r="C51" s="4" t="s">
        <v>29</v>
      </c>
      <c r="D51" s="53"/>
      <c r="E51" s="52"/>
      <c r="F51" s="53"/>
      <c r="G51" s="52"/>
      <c r="H51" s="53"/>
      <c r="I51" s="52"/>
      <c r="J51" s="53"/>
      <c r="K51" s="52"/>
      <c r="L51" s="53"/>
      <c r="M51" s="52"/>
      <c r="N51" s="53"/>
      <c r="O51" s="52"/>
      <c r="P51" s="53">
        <f>SUM(tblEntertainment[[#This Row],[Columna2]:[Dic]])</f>
        <v>0</v>
      </c>
      <c r="Q51" s="38"/>
    </row>
    <row r="52" spans="1:17" ht="21" customHeight="1" x14ac:dyDescent="0.2">
      <c r="B52" s="67"/>
      <c r="C52" s="20" t="s">
        <v>3</v>
      </c>
      <c r="D52" s="54">
        <f>SUBTOTAL(109,tblEntertainment[Columna2])</f>
        <v>0</v>
      </c>
      <c r="E52" s="51">
        <f>SUBTOTAL(109,tblEntertainment[Columna3])</f>
        <v>0</v>
      </c>
      <c r="F52" s="54">
        <f>SUBTOTAL(109,tblEntertainment[Columna4])</f>
        <v>0</v>
      </c>
      <c r="G52" s="51">
        <f>SUBTOTAL(109,tblEntertainment[Abril])</f>
        <v>0</v>
      </c>
      <c r="H52" s="54">
        <f>SUBTOTAL(109,tblEntertainment[Mayo])</f>
        <v>0</v>
      </c>
      <c r="I52" s="51">
        <f>SUBTOTAL(109,tblEntertainment[Junio])</f>
        <v>0</v>
      </c>
      <c r="J52" s="54">
        <f>SUBTOTAL(109,tblEntertainment[Julio])</f>
        <v>0</v>
      </c>
      <c r="K52" s="51">
        <f>SUBTOTAL(109,tblEntertainment[Ago])</f>
        <v>0</v>
      </c>
      <c r="L52" s="54">
        <f>SUBTOTAL(109,tblEntertainment[Sept])</f>
        <v>0</v>
      </c>
      <c r="M52" s="51">
        <f>SUBTOTAL(109,tblEntertainment[Oct])</f>
        <v>0</v>
      </c>
      <c r="N52" s="54">
        <f>SUBTOTAL(109,tblEntertainment[Nov])</f>
        <v>0</v>
      </c>
      <c r="O52" s="51">
        <f>SUBTOTAL(109,tblEntertainment[Dic])</f>
        <v>0</v>
      </c>
      <c r="P52" s="54">
        <f>SUBTOTAL(109,tblEntertainment[Año])</f>
        <v>0</v>
      </c>
      <c r="Q52" s="11"/>
    </row>
    <row r="53" spans="1:17" ht="8.1" customHeight="1" x14ac:dyDescent="0.2">
      <c r="B53" s="67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1:17" ht="20.100000000000001" customHeight="1" x14ac:dyDescent="0.2"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7" ht="21" customHeight="1" x14ac:dyDescent="0.2">
      <c r="B55" s="67"/>
      <c r="C55" s="23" t="s">
        <v>30</v>
      </c>
      <c r="D55" s="12"/>
      <c r="E55" s="3"/>
      <c r="F55" s="12"/>
      <c r="G55" s="3"/>
      <c r="H55" s="12"/>
      <c r="I55" s="3"/>
      <c r="J55" s="12"/>
      <c r="K55" s="3"/>
      <c r="L55" s="12"/>
      <c r="M55" s="3"/>
      <c r="N55" s="12"/>
      <c r="O55" s="3"/>
      <c r="P55" s="12"/>
      <c r="Q55" s="3"/>
    </row>
    <row r="56" spans="1:17" ht="15.9" hidden="1" customHeight="1" x14ac:dyDescent="0.2">
      <c r="B56" s="67"/>
      <c r="C56" t="s">
        <v>31</v>
      </c>
      <c r="D56" t="s">
        <v>112</v>
      </c>
      <c r="E56" t="s">
        <v>113</v>
      </c>
      <c r="F56" t="s">
        <v>114</v>
      </c>
      <c r="G56" t="s">
        <v>85</v>
      </c>
      <c r="H56" t="s">
        <v>87</v>
      </c>
      <c r="I56" t="s">
        <v>89</v>
      </c>
      <c r="J56" t="s">
        <v>91</v>
      </c>
      <c r="K56" t="s">
        <v>93</v>
      </c>
      <c r="L56" t="s">
        <v>95</v>
      </c>
      <c r="M56" t="s">
        <v>97</v>
      </c>
      <c r="N56" t="s">
        <v>99</v>
      </c>
      <c r="O56" t="s">
        <v>101</v>
      </c>
      <c r="P56" t="s">
        <v>103</v>
      </c>
      <c r="Q56" t="s">
        <v>105</v>
      </c>
    </row>
    <row r="57" spans="1:17" ht="15.9" customHeight="1" x14ac:dyDescent="0.2">
      <c r="B57" s="67"/>
      <c r="C57" s="4" t="s">
        <v>32</v>
      </c>
      <c r="D57" s="53"/>
      <c r="E57" s="52"/>
      <c r="F57" s="53"/>
      <c r="G57" s="52"/>
      <c r="H57" s="53"/>
      <c r="I57" s="52"/>
      <c r="J57" s="53"/>
      <c r="K57" s="52"/>
      <c r="L57" s="53"/>
      <c r="M57" s="52"/>
      <c r="N57" s="53"/>
      <c r="O57" s="52"/>
      <c r="P57" s="53">
        <f>SUM(tblHealth[[#This Row],[Columna2]:[Dic]])</f>
        <v>0</v>
      </c>
      <c r="Q57" s="38"/>
    </row>
    <row r="58" spans="1:17" ht="15.9" customHeight="1" x14ac:dyDescent="0.2">
      <c r="B58" s="67"/>
      <c r="C58" s="4" t="s">
        <v>7</v>
      </c>
      <c r="D58" s="53"/>
      <c r="E58" s="52"/>
      <c r="F58" s="53"/>
      <c r="G58" s="52"/>
      <c r="H58" s="53"/>
      <c r="I58" s="52"/>
      <c r="J58" s="53"/>
      <c r="K58" s="52"/>
      <c r="L58" s="53"/>
      <c r="M58" s="52"/>
      <c r="N58" s="53"/>
      <c r="O58" s="52"/>
      <c r="P58" s="53">
        <f>SUM(tblHealth[[#This Row],[Columna2]:[Dic]])</f>
        <v>0</v>
      </c>
      <c r="Q58" s="37"/>
    </row>
    <row r="59" spans="1:17" ht="15.9" customHeight="1" x14ac:dyDescent="0.2">
      <c r="B59" s="67"/>
      <c r="C59" s="4" t="s">
        <v>33</v>
      </c>
      <c r="D59" s="53"/>
      <c r="E59" s="52"/>
      <c r="F59" s="53"/>
      <c r="G59" s="52"/>
      <c r="H59" s="53"/>
      <c r="I59" s="52"/>
      <c r="J59" s="53"/>
      <c r="K59" s="52"/>
      <c r="L59" s="53"/>
      <c r="M59" s="52"/>
      <c r="N59" s="53"/>
      <c r="O59" s="52"/>
      <c r="P59" s="53">
        <f>SUM(tblHealth[[#This Row],[Columna2]:[Dic]])</f>
        <v>0</v>
      </c>
      <c r="Q59" s="38"/>
    </row>
    <row r="60" spans="1:17" ht="15.9" customHeight="1" x14ac:dyDescent="0.2">
      <c r="A60"/>
      <c r="B60" s="67"/>
      <c r="C60" s="4" t="s">
        <v>34</v>
      </c>
      <c r="D60" s="53"/>
      <c r="E60" s="52"/>
      <c r="F60" s="53"/>
      <c r="G60" s="52"/>
      <c r="H60" s="53"/>
      <c r="I60" s="52"/>
      <c r="J60" s="53"/>
      <c r="K60" s="52"/>
      <c r="L60" s="53"/>
      <c r="M60" s="52"/>
      <c r="N60" s="53"/>
      <c r="O60" s="52"/>
      <c r="P60" s="53">
        <f>SUM(tblHealth[[#This Row],[Columna2]:[Dic]])</f>
        <v>0</v>
      </c>
      <c r="Q60" s="37"/>
    </row>
    <row r="61" spans="1:17" ht="15.9" customHeight="1" x14ac:dyDescent="0.2">
      <c r="B61" s="67"/>
      <c r="C61" s="4" t="s">
        <v>35</v>
      </c>
      <c r="D61" s="53"/>
      <c r="E61" s="52"/>
      <c r="F61" s="53"/>
      <c r="G61" s="52"/>
      <c r="H61" s="53"/>
      <c r="I61" s="52"/>
      <c r="J61" s="53"/>
      <c r="K61" s="52"/>
      <c r="L61" s="53"/>
      <c r="M61" s="52"/>
      <c r="N61" s="53"/>
      <c r="O61" s="52"/>
      <c r="P61" s="53">
        <f>SUM(tblHealth[[#This Row],[Columna2]:[Dic]])</f>
        <v>0</v>
      </c>
      <c r="Q61" s="38"/>
    </row>
    <row r="62" spans="1:17" ht="15.9" customHeight="1" x14ac:dyDescent="0.2">
      <c r="B62" s="67"/>
      <c r="C62" s="4" t="s">
        <v>36</v>
      </c>
      <c r="D62" s="53"/>
      <c r="E62" s="52"/>
      <c r="F62" s="53"/>
      <c r="G62" s="52"/>
      <c r="H62" s="53"/>
      <c r="I62" s="52"/>
      <c r="J62" s="53"/>
      <c r="K62" s="52"/>
      <c r="L62" s="53"/>
      <c r="M62" s="52"/>
      <c r="N62" s="53"/>
      <c r="O62" s="52"/>
      <c r="P62" s="53">
        <f>SUM(tblHealth[[#This Row],[Columna2]:[Dic]])</f>
        <v>0</v>
      </c>
      <c r="Q62" s="37"/>
    </row>
    <row r="63" spans="1:17" ht="15.9" customHeight="1" x14ac:dyDescent="0.2">
      <c r="B63" s="67"/>
      <c r="C63" s="4" t="s">
        <v>37</v>
      </c>
      <c r="D63" s="53"/>
      <c r="E63" s="52"/>
      <c r="F63" s="53"/>
      <c r="G63" s="52"/>
      <c r="H63" s="53"/>
      <c r="I63" s="52"/>
      <c r="J63" s="53"/>
      <c r="K63" s="52"/>
      <c r="L63" s="53"/>
      <c r="M63" s="52"/>
      <c r="N63" s="53"/>
      <c r="O63" s="52"/>
      <c r="P63" s="53">
        <f>SUM(tblHealth[[#This Row],[Columna2]:[Dic]])</f>
        <v>0</v>
      </c>
      <c r="Q63" s="38"/>
    </row>
    <row r="64" spans="1:17" ht="21" customHeight="1" x14ac:dyDescent="0.2">
      <c r="B64" s="67"/>
      <c r="C64" s="20" t="s">
        <v>3</v>
      </c>
      <c r="D64" s="54">
        <f>SUBTOTAL(109,tblHealth[Columna2])</f>
        <v>0</v>
      </c>
      <c r="E64" s="51">
        <f>SUBTOTAL(109,tblHealth[Columna3])</f>
        <v>0</v>
      </c>
      <c r="F64" s="54">
        <f>SUBTOTAL(109,tblHealth[Columna4])</f>
        <v>0</v>
      </c>
      <c r="G64" s="51">
        <f>SUBTOTAL(109,tblHealth[Abril])</f>
        <v>0</v>
      </c>
      <c r="H64" s="54">
        <f>SUBTOTAL(109,tblHealth[Mayo])</f>
        <v>0</v>
      </c>
      <c r="I64" s="51">
        <f>SUBTOTAL(109,tblHealth[Junio])</f>
        <v>0</v>
      </c>
      <c r="J64" s="54">
        <f>SUBTOTAL(109,tblHealth[Julio])</f>
        <v>0</v>
      </c>
      <c r="K64" s="51">
        <f>SUBTOTAL(109,tblHealth[Ago])</f>
        <v>0</v>
      </c>
      <c r="L64" s="54">
        <f>SUBTOTAL(109,tblHealth[Sept])</f>
        <v>0</v>
      </c>
      <c r="M64" s="51">
        <f>SUBTOTAL(109,tblHealth[Oct])</f>
        <v>0</v>
      </c>
      <c r="N64" s="54">
        <f>SUBTOTAL(109,tblHealth[Nov])</f>
        <v>0</v>
      </c>
      <c r="O64" s="51">
        <f>SUBTOTAL(109,tblHealth[Dic])</f>
        <v>0</v>
      </c>
      <c r="P64" s="54">
        <f>SUBTOTAL(109,tblHealth[Año])</f>
        <v>0</v>
      </c>
      <c r="Q64" s="11"/>
    </row>
    <row r="65" spans="2:17" ht="8.1" customHeight="1" x14ac:dyDescent="0.2">
      <c r="B65" s="67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</row>
    <row r="66" spans="2:17" ht="20.100000000000001" customHeight="1" x14ac:dyDescent="0.2"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2:17" ht="21" customHeight="1" x14ac:dyDescent="0.2">
      <c r="B67" s="67"/>
      <c r="C67" s="18" t="s">
        <v>38</v>
      </c>
      <c r="D67" s="13"/>
      <c r="E67" s="3"/>
      <c r="F67" s="13"/>
      <c r="G67" s="3"/>
      <c r="H67" s="13"/>
      <c r="I67" s="3"/>
      <c r="J67" s="13"/>
      <c r="K67" s="3"/>
      <c r="L67" s="13"/>
      <c r="M67" s="3"/>
      <c r="N67" s="13"/>
      <c r="O67" s="3"/>
      <c r="P67" s="13"/>
      <c r="Q67" s="3"/>
    </row>
    <row r="68" spans="2:17" ht="21" hidden="1" customHeight="1" x14ac:dyDescent="0.2">
      <c r="B68" s="67"/>
      <c r="C68" t="s">
        <v>39</v>
      </c>
      <c r="D68" t="s">
        <v>79</v>
      </c>
      <c r="E68" t="s">
        <v>81</v>
      </c>
      <c r="F68" t="s">
        <v>83</v>
      </c>
      <c r="G68" t="s">
        <v>85</v>
      </c>
      <c r="H68" t="s">
        <v>87</v>
      </c>
      <c r="I68" t="s">
        <v>89</v>
      </c>
      <c r="J68" t="s">
        <v>91</v>
      </c>
      <c r="K68" t="s">
        <v>93</v>
      </c>
      <c r="L68" t="s">
        <v>95</v>
      </c>
      <c r="M68" t="s">
        <v>97</v>
      </c>
      <c r="N68" t="s">
        <v>99</v>
      </c>
      <c r="O68" t="s">
        <v>101</v>
      </c>
      <c r="P68" t="s">
        <v>103</v>
      </c>
      <c r="Q68" t="s">
        <v>105</v>
      </c>
    </row>
    <row r="69" spans="2:17" ht="15.9" customHeight="1" x14ac:dyDescent="0.2">
      <c r="B69" s="67"/>
      <c r="C69" s="4" t="s">
        <v>106</v>
      </c>
      <c r="D69" s="48"/>
      <c r="E69" s="52">
        <v>485</v>
      </c>
      <c r="F69" s="48"/>
      <c r="G69" s="52"/>
      <c r="H69" s="48"/>
      <c r="I69" s="52"/>
      <c r="J69" s="48"/>
      <c r="K69" s="52"/>
      <c r="L69" s="48"/>
      <c r="M69" s="52"/>
      <c r="N69" s="48"/>
      <c r="O69" s="52"/>
      <c r="P69" s="48">
        <f>SUM(tblVacations[[#This Row],[Ene]:[Dic]])</f>
        <v>485</v>
      </c>
      <c r="Q69" s="37"/>
    </row>
    <row r="70" spans="2:17" ht="15.9" customHeight="1" x14ac:dyDescent="0.2">
      <c r="B70" s="67"/>
      <c r="C70" s="4" t="s">
        <v>40</v>
      </c>
      <c r="D70" s="48"/>
      <c r="E70" s="52">
        <v>245</v>
      </c>
      <c r="F70" s="48"/>
      <c r="G70" s="52"/>
      <c r="H70" s="48"/>
      <c r="I70" s="52"/>
      <c r="J70" s="48"/>
      <c r="K70" s="52"/>
      <c r="L70" s="48"/>
      <c r="M70" s="52"/>
      <c r="N70" s="48"/>
      <c r="O70" s="52"/>
      <c r="P70" s="48">
        <f>SUM(tblVacations[[#This Row],[Ene]:[Dic]])</f>
        <v>245</v>
      </c>
      <c r="Q70" s="38"/>
    </row>
    <row r="71" spans="2:17" ht="15.9" customHeight="1" x14ac:dyDescent="0.2">
      <c r="B71" s="67"/>
      <c r="C71" s="4" t="s">
        <v>41</v>
      </c>
      <c r="D71" s="48"/>
      <c r="E71" s="52">
        <v>95</v>
      </c>
      <c r="F71" s="48"/>
      <c r="G71" s="52"/>
      <c r="H71" s="48"/>
      <c r="I71" s="52"/>
      <c r="J71" s="48"/>
      <c r="K71" s="52"/>
      <c r="L71" s="48"/>
      <c r="M71" s="52"/>
      <c r="N71" s="48"/>
      <c r="O71" s="52"/>
      <c r="P71" s="48">
        <f>SUM(tblVacations[[#This Row],[Ene]:[Dic]])</f>
        <v>95</v>
      </c>
      <c r="Q71" s="37"/>
    </row>
    <row r="72" spans="2:17" ht="15.9" customHeight="1" x14ac:dyDescent="0.2">
      <c r="B72" s="67"/>
      <c r="C72" s="4" t="s">
        <v>42</v>
      </c>
      <c r="D72" s="48"/>
      <c r="E72" s="52"/>
      <c r="F72" s="48"/>
      <c r="G72" s="52"/>
      <c r="H72" s="48"/>
      <c r="I72" s="52"/>
      <c r="J72" s="48"/>
      <c r="K72" s="52"/>
      <c r="L72" s="48"/>
      <c r="M72" s="52"/>
      <c r="N72" s="48"/>
      <c r="O72" s="52"/>
      <c r="P72" s="48">
        <f>SUM(tblVacations[[#This Row],[Ene]:[Dic]])</f>
        <v>0</v>
      </c>
      <c r="Q72" s="38"/>
    </row>
    <row r="73" spans="2:17" ht="15.9" customHeight="1" x14ac:dyDescent="0.2">
      <c r="B73" s="67"/>
      <c r="C73" s="4" t="s">
        <v>43</v>
      </c>
      <c r="D73" s="48"/>
      <c r="E73" s="52"/>
      <c r="F73" s="48"/>
      <c r="G73" s="52"/>
      <c r="H73" s="48"/>
      <c r="I73" s="52"/>
      <c r="J73" s="48"/>
      <c r="K73" s="52"/>
      <c r="L73" s="48"/>
      <c r="M73" s="52"/>
      <c r="N73" s="48"/>
      <c r="O73" s="52"/>
      <c r="P73" s="48">
        <f>SUM(tblVacations[[#This Row],[Ene]:[Dic]])</f>
        <v>0</v>
      </c>
      <c r="Q73" s="37"/>
    </row>
    <row r="74" spans="2:17" ht="15.9" customHeight="1" x14ac:dyDescent="0.2">
      <c r="B74" s="67"/>
      <c r="C74" s="4" t="s">
        <v>107</v>
      </c>
      <c r="D74" s="48"/>
      <c r="E74" s="52">
        <v>85</v>
      </c>
      <c r="F74" s="48"/>
      <c r="G74" s="52"/>
      <c r="H74" s="48"/>
      <c r="I74" s="52"/>
      <c r="J74" s="48"/>
      <c r="K74" s="52"/>
      <c r="L74" s="48"/>
      <c r="M74" s="52"/>
      <c r="N74" s="48"/>
      <c r="O74" s="52"/>
      <c r="P74" s="48">
        <f>SUM(tblVacations[[#This Row],[Ene]:[Dic]])</f>
        <v>85</v>
      </c>
      <c r="Q74" s="38"/>
    </row>
    <row r="75" spans="2:17" ht="21" customHeight="1" x14ac:dyDescent="0.2">
      <c r="B75" s="67"/>
      <c r="C75" s="20" t="s">
        <v>3</v>
      </c>
      <c r="D75" s="50">
        <f>SUBTOTAL(109,tblVacations[Ene])</f>
        <v>0</v>
      </c>
      <c r="E75" s="51">
        <f>SUBTOTAL(109,tblVacations[Feb])</f>
        <v>910</v>
      </c>
      <c r="F75" s="50">
        <f>SUBTOTAL(109,tblVacations[Marzo])</f>
        <v>0</v>
      </c>
      <c r="G75" s="51">
        <f>SUBTOTAL(109,tblVacations[Abril])</f>
        <v>0</v>
      </c>
      <c r="H75" s="50">
        <f>SUBTOTAL(109,tblVacations[Mayo])</f>
        <v>0</v>
      </c>
      <c r="I75" s="51">
        <f>SUBTOTAL(109,tblVacations[Junio])</f>
        <v>0</v>
      </c>
      <c r="J75" s="50">
        <f>SUBTOTAL(109,tblVacations[Julio])</f>
        <v>0</v>
      </c>
      <c r="K75" s="51">
        <f>SUBTOTAL(109,tblVacations[Ago])</f>
        <v>0</v>
      </c>
      <c r="L75" s="50">
        <f>SUBTOTAL(109,tblVacations[Sept])</f>
        <v>0</v>
      </c>
      <c r="M75" s="51">
        <f>SUBTOTAL(109,tblVacations[Oct])</f>
        <v>0</v>
      </c>
      <c r="N75" s="50">
        <f>SUBTOTAL(109,tblVacations[Nov])</f>
        <v>0</v>
      </c>
      <c r="O75" s="51">
        <f>SUBTOTAL(109,tblVacations[Dic])</f>
        <v>0</v>
      </c>
      <c r="P75" s="50">
        <f>SUBTOTAL(109,tblVacations[Año])</f>
        <v>910</v>
      </c>
      <c r="Q75" s="11"/>
    </row>
    <row r="76" spans="2:17" ht="8.1" customHeight="1" x14ac:dyDescent="0.2">
      <c r="B76" s="67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</row>
    <row r="77" spans="2:17" ht="20.100000000000001" customHeight="1" x14ac:dyDescent="0.2"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2:17" ht="21" customHeight="1" x14ac:dyDescent="0.2">
      <c r="B78" s="67"/>
      <c r="C78" s="22" t="s">
        <v>44</v>
      </c>
      <c r="D78" s="13"/>
      <c r="E78" s="3"/>
      <c r="F78" s="13"/>
      <c r="G78" s="3"/>
      <c r="H78" s="13"/>
      <c r="I78" s="3"/>
      <c r="J78" s="13"/>
      <c r="K78" s="3"/>
      <c r="L78" s="13"/>
      <c r="M78" s="3"/>
      <c r="N78" s="13"/>
      <c r="O78" s="3"/>
      <c r="P78" s="13"/>
      <c r="Q78" s="3"/>
    </row>
    <row r="79" spans="2:17" ht="21" hidden="1" customHeight="1" x14ac:dyDescent="0.2">
      <c r="B79" s="67"/>
      <c r="C79" t="s">
        <v>45</v>
      </c>
      <c r="D79" t="s">
        <v>79</v>
      </c>
      <c r="E79" t="s">
        <v>81</v>
      </c>
      <c r="F79" t="s">
        <v>83</v>
      </c>
      <c r="G79" t="s">
        <v>85</v>
      </c>
      <c r="H79" t="s">
        <v>87</v>
      </c>
      <c r="I79" t="s">
        <v>89</v>
      </c>
      <c r="J79" t="s">
        <v>91</v>
      </c>
      <c r="K79" t="s">
        <v>93</v>
      </c>
      <c r="L79" t="s">
        <v>95</v>
      </c>
      <c r="M79" t="s">
        <v>97</v>
      </c>
      <c r="N79" t="s">
        <v>99</v>
      </c>
      <c r="O79" t="s">
        <v>101</v>
      </c>
      <c r="P79" t="s">
        <v>103</v>
      </c>
      <c r="Q79" t="s">
        <v>105</v>
      </c>
    </row>
    <row r="80" spans="2:17" ht="15.9" customHeight="1" x14ac:dyDescent="0.2">
      <c r="B80" s="67"/>
      <c r="C80" s="4" t="s">
        <v>46</v>
      </c>
      <c r="D80" s="48"/>
      <c r="E80" s="52"/>
      <c r="F80" s="48"/>
      <c r="G80" s="52"/>
      <c r="H80" s="48"/>
      <c r="I80" s="52"/>
      <c r="J80" s="48"/>
      <c r="K80" s="52"/>
      <c r="L80" s="48"/>
      <c r="M80" s="52"/>
      <c r="N80" s="48"/>
      <c r="O80" s="52"/>
      <c r="P80" s="48">
        <f>SUM(tblRecreation[[#This Row],[Ene]:[Dic]])</f>
        <v>0</v>
      </c>
      <c r="Q80" s="37"/>
    </row>
    <row r="81" spans="2:17" ht="15.9" customHeight="1" x14ac:dyDescent="0.2">
      <c r="B81" s="67"/>
      <c r="C81" s="4" t="s">
        <v>47</v>
      </c>
      <c r="D81" s="48"/>
      <c r="E81" s="52"/>
      <c r="F81" s="48"/>
      <c r="G81" s="52"/>
      <c r="H81" s="48"/>
      <c r="I81" s="52"/>
      <c r="J81" s="48"/>
      <c r="K81" s="52"/>
      <c r="L81" s="48"/>
      <c r="M81" s="52"/>
      <c r="N81" s="48"/>
      <c r="O81" s="52"/>
      <c r="P81" s="48">
        <f>SUM(tblRecreation[[#This Row],[Ene]:[Dic]])</f>
        <v>0</v>
      </c>
      <c r="Q81" s="38"/>
    </row>
    <row r="82" spans="2:17" ht="15.9" customHeight="1" x14ac:dyDescent="0.2">
      <c r="B82" s="67"/>
      <c r="C82" s="4" t="s">
        <v>48</v>
      </c>
      <c r="D82" s="48"/>
      <c r="E82" s="52"/>
      <c r="F82" s="48"/>
      <c r="G82" s="52"/>
      <c r="H82" s="48"/>
      <c r="I82" s="52"/>
      <c r="J82" s="48"/>
      <c r="K82" s="52"/>
      <c r="L82" s="48"/>
      <c r="M82" s="52"/>
      <c r="N82" s="48"/>
      <c r="O82" s="52"/>
      <c r="P82" s="48">
        <f>SUM(tblRecreation[[#This Row],[Ene]:[Dic]])</f>
        <v>0</v>
      </c>
      <c r="Q82" s="37"/>
    </row>
    <row r="83" spans="2:17" ht="15.9" customHeight="1" x14ac:dyDescent="0.2">
      <c r="B83" s="67"/>
      <c r="C83" s="4" t="s">
        <v>49</v>
      </c>
      <c r="D83" s="48">
        <v>39</v>
      </c>
      <c r="E83" s="52">
        <v>33</v>
      </c>
      <c r="F83" s="48">
        <v>40</v>
      </c>
      <c r="G83" s="52"/>
      <c r="H83" s="48"/>
      <c r="I83" s="52"/>
      <c r="J83" s="48"/>
      <c r="K83" s="52"/>
      <c r="L83" s="48"/>
      <c r="M83" s="52"/>
      <c r="N83" s="48"/>
      <c r="O83" s="52"/>
      <c r="P83" s="48">
        <f>SUM(tblRecreation[[#This Row],[Ene]:[Dic]])</f>
        <v>112</v>
      </c>
      <c r="Q83" s="38"/>
    </row>
    <row r="84" spans="2:17" ht="21" customHeight="1" x14ac:dyDescent="0.2">
      <c r="B84" s="67"/>
      <c r="C84" s="20" t="s">
        <v>3</v>
      </c>
      <c r="D84" s="50">
        <f>SUBTOTAL(109,tblRecreation[Ene])</f>
        <v>39</v>
      </c>
      <c r="E84" s="51">
        <f>SUBTOTAL(109,tblRecreation[Feb])</f>
        <v>33</v>
      </c>
      <c r="F84" s="50">
        <f>SUBTOTAL(109,tblRecreation[Marzo])</f>
        <v>40</v>
      </c>
      <c r="G84" s="51">
        <f>SUBTOTAL(109,tblRecreation[Abril])</f>
        <v>0</v>
      </c>
      <c r="H84" s="50">
        <f>SUBTOTAL(109,tblRecreation[Mayo])</f>
        <v>0</v>
      </c>
      <c r="I84" s="51">
        <f>SUBTOTAL(109,tblRecreation[Junio])</f>
        <v>0</v>
      </c>
      <c r="J84" s="50">
        <f>SUBTOTAL(109,tblRecreation[Julio])</f>
        <v>0</v>
      </c>
      <c r="K84" s="51">
        <f>SUBTOTAL(109,tblRecreation[Ago])</f>
        <v>0</v>
      </c>
      <c r="L84" s="50">
        <f>SUBTOTAL(109,tblRecreation[Sept])</f>
        <v>0</v>
      </c>
      <c r="M84" s="51">
        <f>SUBTOTAL(109,tblRecreation[Oct])</f>
        <v>0</v>
      </c>
      <c r="N84" s="50">
        <f>SUBTOTAL(109,tblRecreation[Nov])</f>
        <v>0</v>
      </c>
      <c r="O84" s="51">
        <f>SUBTOTAL(109,tblRecreation[Dic])</f>
        <v>0</v>
      </c>
      <c r="P84" s="50">
        <f>SUBTOTAL(109,tblRecreation[Año])</f>
        <v>112</v>
      </c>
      <c r="Q84" s="11"/>
    </row>
    <row r="85" spans="2:17" ht="8.1" customHeight="1" x14ac:dyDescent="0.2">
      <c r="B85" s="67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</row>
    <row r="86" spans="2:17" ht="20.100000000000001" customHeight="1" x14ac:dyDescent="0.2"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2:17" ht="21" customHeight="1" x14ac:dyDescent="0.2">
      <c r="B87" s="67"/>
      <c r="C87" s="24" t="s">
        <v>50</v>
      </c>
      <c r="D87" s="12"/>
      <c r="E87" s="3"/>
      <c r="F87" s="12"/>
      <c r="G87" s="3"/>
      <c r="H87" s="12"/>
      <c r="I87" s="3"/>
      <c r="J87" s="12"/>
      <c r="K87" s="3"/>
      <c r="L87" s="12"/>
      <c r="M87" s="3"/>
      <c r="N87" s="12"/>
      <c r="O87" s="3"/>
      <c r="P87" s="12"/>
      <c r="Q87" s="3"/>
    </row>
    <row r="88" spans="2:17" ht="8.1" hidden="1" customHeight="1" x14ac:dyDescent="0.2">
      <c r="B88" s="67"/>
      <c r="C88" t="s">
        <v>51</v>
      </c>
      <c r="D88" t="s">
        <v>79</v>
      </c>
      <c r="E88" t="s">
        <v>81</v>
      </c>
      <c r="F88" t="s">
        <v>83</v>
      </c>
      <c r="G88" t="s">
        <v>85</v>
      </c>
      <c r="H88" t="s">
        <v>87</v>
      </c>
      <c r="I88" t="s">
        <v>89</v>
      </c>
      <c r="J88" t="s">
        <v>91</v>
      </c>
      <c r="K88" t="s">
        <v>93</v>
      </c>
      <c r="L88" t="s">
        <v>95</v>
      </c>
      <c r="M88" t="s">
        <v>97</v>
      </c>
      <c r="N88" t="s">
        <v>99</v>
      </c>
      <c r="O88" t="s">
        <v>101</v>
      </c>
      <c r="P88" t="s">
        <v>103</v>
      </c>
      <c r="Q88" t="s">
        <v>105</v>
      </c>
    </row>
    <row r="89" spans="2:17" ht="15.9" customHeight="1" x14ac:dyDescent="0.2">
      <c r="B89" s="67"/>
      <c r="C89" s="4" t="s">
        <v>52</v>
      </c>
      <c r="D89" s="53"/>
      <c r="E89" s="52"/>
      <c r="F89" s="53"/>
      <c r="G89" s="52"/>
      <c r="H89" s="53"/>
      <c r="I89" s="52"/>
      <c r="J89" s="53"/>
      <c r="K89" s="52"/>
      <c r="L89" s="53"/>
      <c r="M89" s="52"/>
      <c r="N89" s="53"/>
      <c r="O89" s="52"/>
      <c r="P89" s="53">
        <f>SUM(tblDues[[#This Row],[Ene]:[Dic]])</f>
        <v>0</v>
      </c>
      <c r="Q89" s="38"/>
    </row>
    <row r="90" spans="2:17" ht="15.9" customHeight="1" x14ac:dyDescent="0.2">
      <c r="B90" s="67"/>
      <c r="C90" s="4" t="s">
        <v>53</v>
      </c>
      <c r="D90" s="53"/>
      <c r="E90" s="52"/>
      <c r="F90" s="53"/>
      <c r="G90" s="52"/>
      <c r="H90" s="53"/>
      <c r="I90" s="52"/>
      <c r="J90" s="53"/>
      <c r="K90" s="52"/>
      <c r="L90" s="53"/>
      <c r="M90" s="52"/>
      <c r="N90" s="53"/>
      <c r="O90" s="52"/>
      <c r="P90" s="53">
        <f>SUM(tblDues[[#This Row],[Ene]:[Dic]])</f>
        <v>0</v>
      </c>
      <c r="Q90" s="37"/>
    </row>
    <row r="91" spans="2:17" ht="15.9" customHeight="1" x14ac:dyDescent="0.2">
      <c r="B91" s="67"/>
      <c r="C91" s="4" t="s">
        <v>54</v>
      </c>
      <c r="D91" s="53"/>
      <c r="E91" s="52"/>
      <c r="F91" s="53"/>
      <c r="G91" s="52"/>
      <c r="H91" s="53"/>
      <c r="I91" s="52"/>
      <c r="J91" s="53"/>
      <c r="K91" s="52"/>
      <c r="L91" s="53"/>
      <c r="M91" s="52"/>
      <c r="N91" s="53"/>
      <c r="O91" s="52"/>
      <c r="P91" s="53">
        <f>SUM(tblDues[[#This Row],[Ene]:[Dic]])</f>
        <v>0</v>
      </c>
      <c r="Q91" s="38"/>
    </row>
    <row r="92" spans="2:17" ht="15.9" customHeight="1" x14ac:dyDescent="0.2">
      <c r="B92" s="67"/>
      <c r="C92" s="4" t="s">
        <v>55</v>
      </c>
      <c r="D92" s="53"/>
      <c r="E92" s="52"/>
      <c r="F92" s="53"/>
      <c r="G92" s="52"/>
      <c r="H92" s="53"/>
      <c r="I92" s="52"/>
      <c r="J92" s="53"/>
      <c r="K92" s="52"/>
      <c r="L92" s="53"/>
      <c r="M92" s="52"/>
      <c r="N92" s="53"/>
      <c r="O92" s="52"/>
      <c r="P92" s="53">
        <f>SUM(tblDues[[#This Row],[Ene]:[Dic]])</f>
        <v>0</v>
      </c>
      <c r="Q92" s="37"/>
    </row>
    <row r="93" spans="2:17" ht="15.9" customHeight="1" x14ac:dyDescent="0.2">
      <c r="B93" s="67"/>
      <c r="C93" s="4" t="s">
        <v>56</v>
      </c>
      <c r="D93" s="53"/>
      <c r="E93" s="52"/>
      <c r="F93" s="53"/>
      <c r="G93" s="52"/>
      <c r="H93" s="53"/>
      <c r="I93" s="52"/>
      <c r="J93" s="53"/>
      <c r="K93" s="52"/>
      <c r="L93" s="53"/>
      <c r="M93" s="52"/>
      <c r="N93" s="53"/>
      <c r="O93" s="52"/>
      <c r="P93" s="53">
        <f>SUM(tblDues[[#This Row],[Ene]:[Dic]])</f>
        <v>0</v>
      </c>
      <c r="Q93" s="38"/>
    </row>
    <row r="94" spans="2:17" ht="15.9" customHeight="1" x14ac:dyDescent="0.2">
      <c r="B94" s="67"/>
      <c r="C94" s="4" t="s">
        <v>57</v>
      </c>
      <c r="D94" s="53">
        <v>29</v>
      </c>
      <c r="E94" s="52">
        <v>18</v>
      </c>
      <c r="F94" s="53">
        <v>17</v>
      </c>
      <c r="G94" s="52"/>
      <c r="H94" s="53"/>
      <c r="I94" s="52"/>
      <c r="J94" s="53"/>
      <c r="K94" s="52"/>
      <c r="L94" s="53"/>
      <c r="M94" s="52"/>
      <c r="N94" s="53"/>
      <c r="O94" s="52"/>
      <c r="P94" s="53">
        <f>SUM(tblDues[[#This Row],[Ene]:[Dic]])</f>
        <v>64</v>
      </c>
      <c r="Q94" s="37"/>
    </row>
    <row r="95" spans="2:17" ht="15.9" customHeight="1" x14ac:dyDescent="0.2">
      <c r="B95" s="67"/>
      <c r="C95" s="4" t="s">
        <v>58</v>
      </c>
      <c r="D95" s="53"/>
      <c r="E95" s="52"/>
      <c r="F95" s="53"/>
      <c r="G95" s="52"/>
      <c r="H95" s="53"/>
      <c r="I95" s="52"/>
      <c r="J95" s="53"/>
      <c r="K95" s="52"/>
      <c r="L95" s="53"/>
      <c r="M95" s="52"/>
      <c r="N95" s="53"/>
      <c r="O95" s="52"/>
      <c r="P95" s="53">
        <f>SUM(tblDues[[#This Row],[Ene]:[Dic]])</f>
        <v>0</v>
      </c>
      <c r="Q95" s="38"/>
    </row>
    <row r="96" spans="2:17" ht="21" customHeight="1" x14ac:dyDescent="0.2">
      <c r="B96" s="67"/>
      <c r="C96" s="20" t="s">
        <v>3</v>
      </c>
      <c r="D96" s="54">
        <f>SUBTOTAL(109,tblDues[Ene])</f>
        <v>29</v>
      </c>
      <c r="E96" s="51">
        <f>SUBTOTAL(109,tblDues[Feb])</f>
        <v>18</v>
      </c>
      <c r="F96" s="54">
        <f>SUBTOTAL(109,tblDues[Marzo])</f>
        <v>17</v>
      </c>
      <c r="G96" s="51">
        <f>SUBTOTAL(109,tblDues[Abril])</f>
        <v>0</v>
      </c>
      <c r="H96" s="54">
        <f>SUBTOTAL(109,tblDues[Mayo])</f>
        <v>0</v>
      </c>
      <c r="I96" s="51">
        <f>SUBTOTAL(109,tblDues[Junio])</f>
        <v>0</v>
      </c>
      <c r="J96" s="54">
        <f>SUBTOTAL(109,tblDues[Julio])</f>
        <v>0</v>
      </c>
      <c r="K96" s="51">
        <f>SUBTOTAL(109,tblDues[Ago])</f>
        <v>0</v>
      </c>
      <c r="L96" s="54">
        <f>SUBTOTAL(109,tblDues[Sept])</f>
        <v>0</v>
      </c>
      <c r="M96" s="51">
        <f>SUBTOTAL(109,tblDues[Oct])</f>
        <v>0</v>
      </c>
      <c r="N96" s="54">
        <f>SUBTOTAL(109,tblDues[Nov])</f>
        <v>0</v>
      </c>
      <c r="O96" s="51">
        <f>SUBTOTAL(109,tblDues[Dic])</f>
        <v>0</v>
      </c>
      <c r="P96" s="54">
        <f>SUBTOTAL(109,tblDues[Año])</f>
        <v>64</v>
      </c>
      <c r="Q96" s="11"/>
    </row>
    <row r="97" spans="2:17" ht="8.1" customHeight="1" x14ac:dyDescent="0.2">
      <c r="B97" s="67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</row>
    <row r="98" spans="2:17" ht="20.100000000000001" customHeight="1" x14ac:dyDescent="0.2"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2:17" ht="21" customHeight="1" x14ac:dyDescent="0.2">
      <c r="B99" s="67"/>
      <c r="C99" s="24" t="s">
        <v>59</v>
      </c>
      <c r="D99" s="12"/>
      <c r="E99" s="3"/>
      <c r="F99" s="12"/>
      <c r="G99" s="3"/>
      <c r="H99" s="12"/>
      <c r="I99" s="3"/>
      <c r="J99" s="12"/>
      <c r="K99" s="3"/>
      <c r="L99" s="12"/>
      <c r="M99" s="3"/>
      <c r="N99" s="12"/>
      <c r="O99" s="3"/>
      <c r="P99" s="12"/>
      <c r="Q99" s="3"/>
    </row>
    <row r="100" spans="2:17" ht="15.9" hidden="1" customHeight="1" x14ac:dyDescent="0.2">
      <c r="B100" s="67"/>
      <c r="C100" t="s">
        <v>60</v>
      </c>
      <c r="D100" t="s">
        <v>79</v>
      </c>
      <c r="E100" t="s">
        <v>81</v>
      </c>
      <c r="F100" t="s">
        <v>83</v>
      </c>
      <c r="G100" t="s">
        <v>85</v>
      </c>
      <c r="H100" t="s">
        <v>87</v>
      </c>
      <c r="I100" t="s">
        <v>89</v>
      </c>
      <c r="J100" t="s">
        <v>91</v>
      </c>
      <c r="K100" t="s">
        <v>93</v>
      </c>
      <c r="L100" t="s">
        <v>95</v>
      </c>
      <c r="M100" t="s">
        <v>97</v>
      </c>
      <c r="N100" t="s">
        <v>99</v>
      </c>
      <c r="O100" t="s">
        <v>101</v>
      </c>
      <c r="P100" t="s">
        <v>103</v>
      </c>
      <c r="Q100" t="s">
        <v>105</v>
      </c>
    </row>
    <row r="101" spans="2:17" ht="15.9" customHeight="1" x14ac:dyDescent="0.2">
      <c r="B101" s="67"/>
      <c r="C101" s="4" t="s">
        <v>61</v>
      </c>
      <c r="D101" s="53"/>
      <c r="E101" s="52"/>
      <c r="F101" s="53">
        <v>29</v>
      </c>
      <c r="G101" s="52"/>
      <c r="H101" s="53"/>
      <c r="I101" s="52"/>
      <c r="J101" s="53"/>
      <c r="K101" s="52"/>
      <c r="L101" s="53"/>
      <c r="M101" s="52"/>
      <c r="N101" s="53"/>
      <c r="O101" s="52"/>
      <c r="P101" s="53">
        <f>SUM(tblPersonal[[#This Row],[Ene]:[Dic]])</f>
        <v>29</v>
      </c>
      <c r="Q101" s="38"/>
    </row>
    <row r="102" spans="2:17" ht="15.9" customHeight="1" x14ac:dyDescent="0.2">
      <c r="B102" s="67"/>
      <c r="C102" s="4" t="s">
        <v>42</v>
      </c>
      <c r="D102" s="53"/>
      <c r="E102" s="52">
        <v>35</v>
      </c>
      <c r="F102" s="53"/>
      <c r="G102" s="52"/>
      <c r="H102" s="53"/>
      <c r="I102" s="52"/>
      <c r="J102" s="53"/>
      <c r="K102" s="52"/>
      <c r="L102" s="53"/>
      <c r="M102" s="52"/>
      <c r="N102" s="53"/>
      <c r="O102" s="52"/>
      <c r="P102" s="53">
        <f>SUM(tblPersonal[[#This Row],[Ene]:[Dic]])</f>
        <v>35</v>
      </c>
      <c r="Q102" s="37"/>
    </row>
    <row r="103" spans="2:17" ht="15.9" customHeight="1" x14ac:dyDescent="0.2">
      <c r="B103" s="67"/>
      <c r="C103" s="4" t="s">
        <v>62</v>
      </c>
      <c r="D103" s="53">
        <v>25</v>
      </c>
      <c r="E103" s="52">
        <v>25</v>
      </c>
      <c r="F103" s="53">
        <v>25</v>
      </c>
      <c r="G103" s="52"/>
      <c r="H103" s="53"/>
      <c r="I103" s="52"/>
      <c r="J103" s="53"/>
      <c r="K103" s="52"/>
      <c r="L103" s="53"/>
      <c r="M103" s="52"/>
      <c r="N103" s="53"/>
      <c r="O103" s="52"/>
      <c r="P103" s="53">
        <f>SUM(tblPersonal[[#This Row],[Ene]:[Dic]])</f>
        <v>75</v>
      </c>
      <c r="Q103" s="38"/>
    </row>
    <row r="104" spans="2:17" ht="15.9" customHeight="1" x14ac:dyDescent="0.2">
      <c r="B104" s="67"/>
      <c r="C104" s="4" t="s">
        <v>63</v>
      </c>
      <c r="D104" s="53"/>
      <c r="E104" s="52"/>
      <c r="F104" s="53"/>
      <c r="G104" s="52"/>
      <c r="H104" s="53"/>
      <c r="I104" s="52"/>
      <c r="J104" s="53"/>
      <c r="K104" s="52"/>
      <c r="L104" s="53"/>
      <c r="M104" s="52"/>
      <c r="N104" s="53"/>
      <c r="O104" s="52"/>
      <c r="P104" s="53">
        <f>SUM(tblPersonal[[#This Row],[Ene]:[Dic]])</f>
        <v>0</v>
      </c>
      <c r="Q104" s="37"/>
    </row>
    <row r="105" spans="2:17" ht="15.9" customHeight="1" x14ac:dyDescent="0.2">
      <c r="B105" s="67"/>
      <c r="C105" s="4" t="s">
        <v>64</v>
      </c>
      <c r="D105" s="53"/>
      <c r="E105" s="52"/>
      <c r="F105" s="53"/>
      <c r="G105" s="52"/>
      <c r="H105" s="53"/>
      <c r="I105" s="52"/>
      <c r="J105" s="53"/>
      <c r="K105" s="52"/>
      <c r="L105" s="53"/>
      <c r="M105" s="52"/>
      <c r="N105" s="53"/>
      <c r="O105" s="52"/>
      <c r="P105" s="53">
        <f>SUM(tblPersonal[[#This Row],[Ene]:[Dic]])</f>
        <v>0</v>
      </c>
      <c r="Q105" s="38"/>
    </row>
    <row r="106" spans="2:17" ht="21" customHeight="1" x14ac:dyDescent="0.2">
      <c r="B106" s="67"/>
      <c r="C106" s="20" t="s">
        <v>3</v>
      </c>
      <c r="D106" s="54">
        <f>SUBTOTAL(109,tblPersonal[Ene])</f>
        <v>25</v>
      </c>
      <c r="E106" s="51">
        <f>SUBTOTAL(109,tblPersonal[Feb])</f>
        <v>60</v>
      </c>
      <c r="F106" s="54">
        <f>SUBTOTAL(109,tblPersonal[Marzo])</f>
        <v>54</v>
      </c>
      <c r="G106" s="51">
        <f>SUBTOTAL(109,tblPersonal[Abril])</f>
        <v>0</v>
      </c>
      <c r="H106" s="54">
        <f>SUBTOTAL(109,tblPersonal[Mayo])</f>
        <v>0</v>
      </c>
      <c r="I106" s="51">
        <f>SUBTOTAL(109,tblPersonal[Junio])</f>
        <v>0</v>
      </c>
      <c r="J106" s="54">
        <f>SUBTOTAL(109,tblPersonal[Julio])</f>
        <v>0</v>
      </c>
      <c r="K106" s="51">
        <f>SUBTOTAL(109,tblPersonal[Ago])</f>
        <v>0</v>
      </c>
      <c r="L106" s="54">
        <f>SUBTOTAL(109,tblPersonal[Sept])</f>
        <v>0</v>
      </c>
      <c r="M106" s="51">
        <f>SUBTOTAL(109,tblPersonal[Oct])</f>
        <v>0</v>
      </c>
      <c r="N106" s="54">
        <f>SUBTOTAL(109,tblPersonal[Nov])</f>
        <v>0</v>
      </c>
      <c r="O106" s="51">
        <f>SUBTOTAL(109,tblPersonal[Dic])</f>
        <v>0</v>
      </c>
      <c r="P106" s="54">
        <f>SUBTOTAL(109,tblPersonal[Año])</f>
        <v>139</v>
      </c>
      <c r="Q106" s="11"/>
    </row>
    <row r="107" spans="2:17" ht="8.1" customHeight="1" x14ac:dyDescent="0.2">
      <c r="B107" s="67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</row>
    <row r="108" spans="2:17" ht="20.100000000000001" customHeight="1" x14ac:dyDescent="0.2"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2:17" ht="21" customHeight="1" x14ac:dyDescent="0.2">
      <c r="B109" s="67"/>
      <c r="C109" s="22" t="s">
        <v>65</v>
      </c>
      <c r="D109" s="13"/>
      <c r="E109" s="3"/>
      <c r="F109" s="13"/>
      <c r="G109" s="3"/>
      <c r="H109" s="13"/>
      <c r="I109" s="3"/>
      <c r="J109" s="13"/>
      <c r="K109" s="3"/>
      <c r="L109" s="13"/>
      <c r="M109" s="3"/>
      <c r="N109" s="13"/>
      <c r="O109" s="3"/>
      <c r="P109" s="13"/>
      <c r="Q109" s="3"/>
    </row>
    <row r="110" spans="2:17" ht="15.9" hidden="1" customHeight="1" x14ac:dyDescent="0.2">
      <c r="B110" s="67"/>
      <c r="C110" t="s">
        <v>66</v>
      </c>
      <c r="D110" t="s">
        <v>79</v>
      </c>
      <c r="E110" t="s">
        <v>81</v>
      </c>
      <c r="F110" t="s">
        <v>83</v>
      </c>
      <c r="G110" t="s">
        <v>85</v>
      </c>
      <c r="H110" t="s">
        <v>87</v>
      </c>
      <c r="I110" t="s">
        <v>89</v>
      </c>
      <c r="J110" t="s">
        <v>91</v>
      </c>
      <c r="K110" t="s">
        <v>93</v>
      </c>
      <c r="L110" t="s">
        <v>95</v>
      </c>
      <c r="M110" t="s">
        <v>97</v>
      </c>
      <c r="N110" t="s">
        <v>99</v>
      </c>
      <c r="O110" t="s">
        <v>101</v>
      </c>
      <c r="P110" t="s">
        <v>103</v>
      </c>
      <c r="Q110" t="s">
        <v>105</v>
      </c>
    </row>
    <row r="111" spans="2:17" ht="15.9" customHeight="1" x14ac:dyDescent="0.2">
      <c r="B111" s="67"/>
      <c r="C111" s="4" t="s">
        <v>67</v>
      </c>
      <c r="D111" s="48">
        <v>30</v>
      </c>
      <c r="E111" s="52">
        <v>30</v>
      </c>
      <c r="F111" s="48">
        <v>30</v>
      </c>
      <c r="G111" s="52">
        <v>40</v>
      </c>
      <c r="H111" s="48"/>
      <c r="I111" s="52"/>
      <c r="J111" s="48"/>
      <c r="K111" s="52"/>
      <c r="L111" s="48"/>
      <c r="M111" s="52"/>
      <c r="N111" s="48"/>
      <c r="O111" s="52"/>
      <c r="P111" s="48">
        <f>SUM(tblFinancial[[#This Row],[Ene]:[Dic]])</f>
        <v>130</v>
      </c>
      <c r="Q111" s="38"/>
    </row>
    <row r="112" spans="2:17" ht="15.9" customHeight="1" x14ac:dyDescent="0.2">
      <c r="B112" s="67"/>
      <c r="C112" s="4" t="s">
        <v>68</v>
      </c>
      <c r="D112" s="48">
        <v>45</v>
      </c>
      <c r="E112" s="52">
        <v>45</v>
      </c>
      <c r="F112" s="48">
        <v>45</v>
      </c>
      <c r="G112" s="52"/>
      <c r="H112" s="48"/>
      <c r="I112" s="52"/>
      <c r="J112" s="48"/>
      <c r="K112" s="52"/>
      <c r="L112" s="48"/>
      <c r="M112" s="52"/>
      <c r="N112" s="48"/>
      <c r="O112" s="52"/>
      <c r="P112" s="48">
        <f>SUM(tblFinancial[[#This Row],[Ene]:[Dic]])</f>
        <v>135</v>
      </c>
      <c r="Q112" s="37"/>
    </row>
    <row r="113" spans="2:17" ht="15.9" customHeight="1" x14ac:dyDescent="0.2">
      <c r="B113" s="67"/>
      <c r="C113" s="4" t="s">
        <v>69</v>
      </c>
      <c r="D113" s="48">
        <v>75</v>
      </c>
      <c r="E113" s="52">
        <v>75</v>
      </c>
      <c r="F113" s="48">
        <v>75</v>
      </c>
      <c r="G113" s="52"/>
      <c r="H113" s="48"/>
      <c r="I113" s="52"/>
      <c r="J113" s="48"/>
      <c r="K113" s="52"/>
      <c r="L113" s="48"/>
      <c r="M113" s="52"/>
      <c r="N113" s="48"/>
      <c r="O113" s="52"/>
      <c r="P113" s="48">
        <f>SUM(tblFinancial[[#This Row],[Ene]:[Dic]])</f>
        <v>225</v>
      </c>
      <c r="Q113" s="38"/>
    </row>
    <row r="114" spans="2:17" ht="15.9" customHeight="1" x14ac:dyDescent="0.2">
      <c r="B114" s="67"/>
      <c r="C114" s="4" t="s">
        <v>70</v>
      </c>
      <c r="D114" s="48"/>
      <c r="E114" s="52"/>
      <c r="F114" s="48"/>
      <c r="G114" s="52"/>
      <c r="H114" s="48"/>
      <c r="I114" s="52"/>
      <c r="J114" s="48"/>
      <c r="K114" s="52"/>
      <c r="L114" s="48"/>
      <c r="M114" s="52"/>
      <c r="N114" s="48"/>
      <c r="O114" s="52"/>
      <c r="P114" s="48">
        <f>SUM(tblFinancial[[#This Row],[Ene]:[Dic]])</f>
        <v>0</v>
      </c>
      <c r="Q114" s="37"/>
    </row>
    <row r="115" spans="2:17" ht="15.9" customHeight="1" x14ac:dyDescent="0.2">
      <c r="B115" s="67"/>
      <c r="C115" s="4" t="s">
        <v>71</v>
      </c>
      <c r="D115" s="48">
        <v>32</v>
      </c>
      <c r="E115" s="52">
        <v>34</v>
      </c>
      <c r="F115" s="48">
        <v>1</v>
      </c>
      <c r="G115" s="52"/>
      <c r="H115" s="48"/>
      <c r="I115" s="52"/>
      <c r="J115" s="48"/>
      <c r="K115" s="52"/>
      <c r="L115" s="48"/>
      <c r="M115" s="52"/>
      <c r="N115" s="48"/>
      <c r="O115" s="52"/>
      <c r="P115" s="48">
        <f>SUM(tblFinancial[[#This Row],[Ene]:[Dic]])</f>
        <v>67</v>
      </c>
      <c r="Q115" s="38"/>
    </row>
    <row r="116" spans="2:17" ht="21" customHeight="1" x14ac:dyDescent="0.2">
      <c r="B116" s="67"/>
      <c r="C116" s="20" t="s">
        <v>3</v>
      </c>
      <c r="D116" s="50">
        <f>SUBTOTAL(109,tblFinancial[Ene])</f>
        <v>182</v>
      </c>
      <c r="E116" s="51">
        <f>SUBTOTAL(109,tblFinancial[Feb])</f>
        <v>184</v>
      </c>
      <c r="F116" s="50">
        <f>SUBTOTAL(109,tblFinancial[Marzo])</f>
        <v>151</v>
      </c>
      <c r="G116" s="51">
        <f>SUBTOTAL(109,tblFinancial[Abril])</f>
        <v>40</v>
      </c>
      <c r="H116" s="50">
        <f>SUBTOTAL(109,tblFinancial[Mayo])</f>
        <v>0</v>
      </c>
      <c r="I116" s="51">
        <f>SUBTOTAL(109,tblFinancial[Junio])</f>
        <v>0</v>
      </c>
      <c r="J116" s="50">
        <f>SUBTOTAL(109,tblFinancial[Julio])</f>
        <v>0</v>
      </c>
      <c r="K116" s="51">
        <f>SUBTOTAL(109,tblFinancial[Ago])</f>
        <v>0</v>
      </c>
      <c r="L116" s="50">
        <f>SUBTOTAL(109,tblFinancial[Sept])</f>
        <v>0</v>
      </c>
      <c r="M116" s="51">
        <f>SUBTOTAL(109,tblFinancial[Oct])</f>
        <v>0</v>
      </c>
      <c r="N116" s="50">
        <f>SUBTOTAL(109,tblFinancial[Nov])</f>
        <v>0</v>
      </c>
      <c r="O116" s="51">
        <f>SUBTOTAL(109,tblFinancial[Dic])</f>
        <v>0</v>
      </c>
      <c r="P116" s="50">
        <f>SUBTOTAL(109,tblFinancial[Año])</f>
        <v>557</v>
      </c>
      <c r="Q116" s="11"/>
    </row>
    <row r="117" spans="2:17" ht="8.1" customHeight="1" x14ac:dyDescent="0.2">
      <c r="B117" s="67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</row>
    <row r="118" spans="2:17" ht="20.100000000000001" customHeight="1" x14ac:dyDescent="0.2"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2:17" ht="21" customHeight="1" x14ac:dyDescent="0.2">
      <c r="B119" s="67"/>
      <c r="C119" s="22" t="s">
        <v>72</v>
      </c>
      <c r="D119" s="13"/>
      <c r="E119" s="3"/>
      <c r="F119" s="13"/>
      <c r="G119" s="3"/>
      <c r="H119" s="13"/>
      <c r="I119" s="3"/>
      <c r="J119" s="13"/>
      <c r="K119" s="3"/>
      <c r="L119" s="13"/>
      <c r="M119" s="3"/>
      <c r="N119" s="13"/>
      <c r="O119" s="3"/>
      <c r="P119" s="13"/>
      <c r="Q119" s="3"/>
    </row>
    <row r="120" spans="2:17" ht="8.1" hidden="1" customHeight="1" x14ac:dyDescent="0.2">
      <c r="B120" s="67"/>
      <c r="C120" t="s">
        <v>73</v>
      </c>
      <c r="D120" t="s">
        <v>79</v>
      </c>
      <c r="E120" t="s">
        <v>81</v>
      </c>
      <c r="F120" t="s">
        <v>83</v>
      </c>
      <c r="G120" t="s">
        <v>85</v>
      </c>
      <c r="H120" t="s">
        <v>87</v>
      </c>
      <c r="I120" t="s">
        <v>89</v>
      </c>
      <c r="J120" t="s">
        <v>91</v>
      </c>
      <c r="K120" t="s">
        <v>93</v>
      </c>
      <c r="L120" t="s">
        <v>95</v>
      </c>
      <c r="M120" t="s">
        <v>97</v>
      </c>
      <c r="N120" t="s">
        <v>99</v>
      </c>
      <c r="O120" t="s">
        <v>101</v>
      </c>
      <c r="P120" t="s">
        <v>103</v>
      </c>
      <c r="Q120" t="s">
        <v>105</v>
      </c>
    </row>
    <row r="121" spans="2:17" ht="15.9" customHeight="1" x14ac:dyDescent="0.2">
      <c r="B121" s="67"/>
      <c r="C121" s="19" t="s">
        <v>74</v>
      </c>
      <c r="D121" s="48"/>
      <c r="E121" s="52"/>
      <c r="F121" s="48"/>
      <c r="G121" s="52"/>
      <c r="H121" s="48"/>
      <c r="I121" s="52"/>
      <c r="J121" s="48"/>
      <c r="K121" s="52"/>
      <c r="L121" s="48"/>
      <c r="M121" s="52"/>
      <c r="N121" s="48"/>
      <c r="O121" s="52"/>
      <c r="P121" s="48">
        <f>SUM(tblMisc[[#This Row],[Ene]:[Dic]])</f>
        <v>0</v>
      </c>
      <c r="Q121" s="38"/>
    </row>
    <row r="122" spans="2:17" ht="15.9" customHeight="1" x14ac:dyDescent="0.2">
      <c r="B122" s="67"/>
      <c r="C122" s="19" t="s">
        <v>74</v>
      </c>
      <c r="D122" s="48"/>
      <c r="E122" s="52"/>
      <c r="F122" s="48"/>
      <c r="G122" s="52"/>
      <c r="H122" s="48"/>
      <c r="I122" s="52"/>
      <c r="J122" s="48"/>
      <c r="K122" s="52"/>
      <c r="L122" s="48"/>
      <c r="M122" s="52"/>
      <c r="N122" s="48"/>
      <c r="O122" s="52"/>
      <c r="P122" s="48">
        <f>SUM(tblMisc[[#This Row],[Ene]:[Dic]])</f>
        <v>0</v>
      </c>
      <c r="Q122" s="37"/>
    </row>
    <row r="123" spans="2:17" ht="15.9" customHeight="1" x14ac:dyDescent="0.2">
      <c r="B123" s="67"/>
      <c r="C123" s="19" t="s">
        <v>74</v>
      </c>
      <c r="D123" s="48"/>
      <c r="E123" s="52"/>
      <c r="F123" s="48"/>
      <c r="G123" s="52"/>
      <c r="H123" s="48"/>
      <c r="I123" s="52"/>
      <c r="J123" s="48"/>
      <c r="K123" s="52"/>
      <c r="L123" s="48"/>
      <c r="M123" s="52"/>
      <c r="N123" s="48"/>
      <c r="O123" s="52"/>
      <c r="P123" s="48">
        <f>SUM(tblMisc[[#This Row],[Ene]:[Dic]])</f>
        <v>0</v>
      </c>
      <c r="Q123" s="38"/>
    </row>
    <row r="124" spans="2:17" ht="15.9" customHeight="1" x14ac:dyDescent="0.2">
      <c r="B124" s="67"/>
      <c r="C124" s="19" t="s">
        <v>74</v>
      </c>
      <c r="D124" s="48"/>
      <c r="E124" s="52"/>
      <c r="F124" s="48"/>
      <c r="G124" s="52"/>
      <c r="H124" s="48"/>
      <c r="I124" s="52"/>
      <c r="J124" s="48"/>
      <c r="K124" s="52"/>
      <c r="L124" s="48"/>
      <c r="M124" s="52"/>
      <c r="N124" s="48"/>
      <c r="O124" s="52"/>
      <c r="P124" s="48">
        <f>SUM(tblMisc[[#This Row],[Ene]:[Dic]])</f>
        <v>0</v>
      </c>
      <c r="Q124" s="37"/>
    </row>
    <row r="125" spans="2:17" ht="15.9" customHeight="1" x14ac:dyDescent="0.2">
      <c r="B125" s="67"/>
      <c r="C125" s="19" t="s">
        <v>74</v>
      </c>
      <c r="D125" s="48"/>
      <c r="E125" s="52"/>
      <c r="F125" s="48"/>
      <c r="G125" s="52"/>
      <c r="H125" s="48"/>
      <c r="I125" s="52"/>
      <c r="J125" s="48"/>
      <c r="K125" s="52"/>
      <c r="L125" s="48"/>
      <c r="M125" s="52"/>
      <c r="N125" s="48"/>
      <c r="O125" s="52"/>
      <c r="P125" s="48">
        <f>SUM(tblMisc[[#This Row],[Ene]:[Dic]])</f>
        <v>0</v>
      </c>
      <c r="Q125" s="38"/>
    </row>
    <row r="126" spans="2:17" ht="21" customHeight="1" x14ac:dyDescent="0.2">
      <c r="B126" s="67"/>
      <c r="C126" s="20" t="s">
        <v>3</v>
      </c>
      <c r="D126" s="50">
        <f>SUBTOTAL(109,tblMisc[Ene])</f>
        <v>0</v>
      </c>
      <c r="E126" s="51">
        <f>SUBTOTAL(109,tblMisc[Feb])</f>
        <v>0</v>
      </c>
      <c r="F126" s="50">
        <f>SUBTOTAL(109,tblMisc[Marzo])</f>
        <v>0</v>
      </c>
      <c r="G126" s="51">
        <f>SUBTOTAL(109,tblMisc[Abril])</f>
        <v>0</v>
      </c>
      <c r="H126" s="50">
        <f>SUBTOTAL(109,tblMisc[Mayo])</f>
        <v>0</v>
      </c>
      <c r="I126" s="51">
        <f>SUBTOTAL(109,tblMisc[Junio])</f>
        <v>0</v>
      </c>
      <c r="J126" s="50">
        <f>SUBTOTAL(109,tblMisc[Julio])</f>
        <v>0</v>
      </c>
      <c r="K126" s="51">
        <f>SUBTOTAL(109,tblMisc[Ago])</f>
        <v>0</v>
      </c>
      <c r="L126" s="50">
        <f>SUBTOTAL(109,tblMisc[Sept])</f>
        <v>0</v>
      </c>
      <c r="M126" s="51">
        <f>SUBTOTAL(109,tblMisc[Oct])</f>
        <v>0</v>
      </c>
      <c r="N126" s="50">
        <f>SUBTOTAL(109,tblMisc[Nov])</f>
        <v>0</v>
      </c>
      <c r="O126" s="51">
        <f>SUBTOTAL(109,tblMisc[Dic])</f>
        <v>0</v>
      </c>
      <c r="P126" s="50">
        <f>SUBTOTAL(109,tblMisc[Año])</f>
        <v>0</v>
      </c>
      <c r="Q126" s="11"/>
    </row>
    <row r="127" spans="2:17" ht="8.1" customHeight="1" x14ac:dyDescent="0.2">
      <c r="B127" s="67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</row>
    <row r="128" spans="2:17" ht="20.100000000000001" customHeight="1" x14ac:dyDescent="0.2"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2:17" ht="21" customHeight="1" x14ac:dyDescent="0.2">
      <c r="B129" s="67"/>
      <c r="C129" s="25" t="s">
        <v>75</v>
      </c>
      <c r="D129" s="29" t="s">
        <v>78</v>
      </c>
      <c r="E129" s="26" t="s">
        <v>80</v>
      </c>
      <c r="F129" s="29" t="s">
        <v>82</v>
      </c>
      <c r="G129" s="26" t="s">
        <v>84</v>
      </c>
      <c r="H129" s="29" t="s">
        <v>86</v>
      </c>
      <c r="I129" s="26" t="s">
        <v>88</v>
      </c>
      <c r="J129" s="29" t="s">
        <v>90</v>
      </c>
      <c r="K129" s="26" t="s">
        <v>92</v>
      </c>
      <c r="L129" s="29" t="s">
        <v>94</v>
      </c>
      <c r="M129" s="26" t="s">
        <v>96</v>
      </c>
      <c r="N129" s="29" t="s">
        <v>98</v>
      </c>
      <c r="O129" s="26" t="s">
        <v>100</v>
      </c>
      <c r="P129" s="29" t="s">
        <v>102</v>
      </c>
      <c r="Q129" s="25" t="s">
        <v>104</v>
      </c>
    </row>
    <row r="130" spans="2:17" ht="15.9" customHeight="1" x14ac:dyDescent="0.2">
      <c r="B130" s="67"/>
      <c r="C130" s="27" t="s">
        <v>76</v>
      </c>
      <c r="D130" s="55">
        <f>SUM(tblMisc[[#Totals],[Ene]],tblFinancial[[#Totals],[Ene]],tblPersonal[[#Totals],[Ene]],tblDues[[#Totals],[Ene]],tblRecreation[[#Totals],[Ene]],tblVacations[[#Totals],[Ene]],tblHealth[[#Totals],[Columna2]],tblEntertainment[[#Totals],[Columna2]],tblTransportation[[#Totals],[Columna2]],tblDaily[[#Totals],[Columna2]],tblHome[[#Totals],[Ene]])</f>
        <v>275</v>
      </c>
      <c r="E130" s="56">
        <f>SUM(tblMisc[[#Totals],[Feb]],tblFinancial[[#Totals],[Feb]],tblPersonal[[#Totals],[Feb]],tblDues[[#Totals],[Feb]],tblRecreation[[#Totals],[Feb]],tblVacations[[#Totals],[Feb]],tblHealth[[#Totals],[Columna3]],tblEntertainment[[#Totals],[Columna3]],tblTransportation[[#Totals],[Columna3]],tblDaily[[#Totals],[Columna3]],tblHome[[#Totals],[Feb]])</f>
        <v>1205</v>
      </c>
      <c r="F130" s="55">
        <f>SUM(tblMisc[[#Totals],[Marzo]],tblFinancial[[#Totals],[Marzo]],tblPersonal[[#Totals],[Marzo]],tblDues[[#Totals],[Marzo]],tblRecreation[[#Totals],[Marzo]],tblVacations[[#Totals],[Marzo]],tblHealth[[#Totals],[Columna4]],tblEntertainment[[#Totals],[Columna4]],tblTransportation[[#Totals],[Columna4]],tblDaily[[#Totals],[Columna4]],tblHome[[#Totals],[Marzo]])</f>
        <v>262</v>
      </c>
      <c r="G130" s="56">
        <f>SUM(tblMisc[[#Totals],[Abril]],tblFinancial[[#Totals],[Abril]],tblPersonal[[#Totals],[Abril]],tblDues[[#Totals],[Abril]],tblRecreation[[#Totals],[Abril]],tblVacations[[#Totals],[Abril]],tblHealth[[#Totals],[Abril]],tblEntertainment[[#Totals],[Abril]],tblTransportation[[#Totals],[Abril]],tblDaily[[#Totals],[Abril]],tblHome[[#Totals],[Abril]])</f>
        <v>40</v>
      </c>
      <c r="H130" s="55">
        <f>SUM(tblMisc[[#Totals],[Mayo]],tblFinancial[[#Totals],[Mayo]],tblPersonal[[#Totals],[Mayo]],tblDues[[#Totals],[Mayo]],tblRecreation[[#Totals],[Mayo]],tblVacations[[#Totals],[Mayo]],tblHealth[[#Totals],[Mayo]],tblEntertainment[[#Totals],[Mayo]],tblTransportation[[#Totals],[Mayo]],tblDaily[[#Totals],[Mayo]],tblHome[[#Totals],[Mayo]])</f>
        <v>0</v>
      </c>
      <c r="I130" s="56">
        <f>SUM(tblMisc[[#Totals],[Junio]],tblFinancial[[#Totals],[Junio]],tblPersonal[[#Totals],[Junio]],tblDues[[#Totals],[Junio]],tblRecreation[[#Totals],[Junio]],tblVacations[[#Totals],[Junio]],tblHealth[[#Totals],[Junio]],tblEntertainment[[#Totals],[Junio]],tblTransportation[[#Totals],[Junio]],tblDaily[[#Totals],[Junio]],tblHome[[#Totals],[Junio]])</f>
        <v>0</v>
      </c>
      <c r="J130" s="55">
        <f>SUM(tblMisc[[#Totals],[Julio]],tblFinancial[[#Totals],[Julio]],tblPersonal[[#Totals],[Julio]],tblDues[[#Totals],[Julio]],tblRecreation[[#Totals],[Julio]],tblVacations[[#Totals],[Julio]],tblHealth[[#Totals],[Julio]],tblEntertainment[[#Totals],[Julio]],tblTransportation[[#Totals],[Julio]],tblDaily[[#Totals],[Julio]],tblHome[[#Totals],[Julio]])</f>
        <v>0</v>
      </c>
      <c r="K130" s="56">
        <f>SUM(tblMisc[[#Totals],[Ago]],tblFinancial[[#Totals],[Ago]],tblPersonal[[#Totals],[Ago]],tblDues[[#Totals],[Ago]],tblRecreation[[#Totals],[Ago]],tblVacations[[#Totals],[Ago]],tblHealth[[#Totals],[Ago]],tblEntertainment[[#Totals],[Ago]],tblTransportation[[#Totals],[Ago]],tblDaily[[#Totals],[Ago]],tblHome[[#Totals],[Ago]])</f>
        <v>0</v>
      </c>
      <c r="L130" s="55">
        <f>SUM(tblMisc[[#Totals],[Sept]],tblFinancial[[#Totals],[Sept]],tblPersonal[[#Totals],[Sept]],tblDues[[#Totals],[Sept]],tblRecreation[[#Totals],[Sept]],tblVacations[[#Totals],[Sept]],tblHealth[[#Totals],[Sept]],tblEntertainment[[#Totals],[Sept]],tblTransportation[[#Totals],[Sept]],tblDaily[[#Totals],[Sept]],tblHome[[#Totals],[Sept]])</f>
        <v>0</v>
      </c>
      <c r="M130" s="56">
        <f>SUM(tblMisc[[#Totals],[Oct]],tblFinancial[[#Totals],[Oct]],tblPersonal[[#Totals],[Oct]],tblDues[[#Totals],[Oct]],tblRecreation[[#Totals],[Oct]],tblVacations[[#Totals],[Oct]],tblHealth[[#Totals],[Oct]],tblEntertainment[[#Totals],[Oct]],tblTransportation[[#Totals],[Oct]],tblDaily[[#Totals],[Oct]],tblHome[[#Totals],[Oct]])</f>
        <v>0</v>
      </c>
      <c r="N130" s="55">
        <f>SUM(tblMisc[[#Totals],[Nov]],tblFinancial[[#Totals],[Nov]],tblPersonal[[#Totals],[Nov]],tblDues[[#Totals],[Nov]],tblRecreation[[#Totals],[Nov]],tblVacations[[#Totals],[Nov]],tblHealth[[#Totals],[Nov]],tblEntertainment[[#Totals],[Nov]],tblTransportation[[#Totals],[Nov]],tblDaily[[#Totals],[Nov]],tblHome[[#Totals],[Nov]])</f>
        <v>0</v>
      </c>
      <c r="O130" s="56">
        <f>SUM(tblMisc[[#Totals],[Dic]],tblFinancial[[#Totals],[Dic]],tblPersonal[[#Totals],[Dic]],tblDues[[#Totals],[Dic]],tblRecreation[[#Totals],[Dic]],tblVacations[[#Totals],[Dic]],tblHealth[[#Totals],[Dic]],tblEntertainment[[#Totals],[Dic]],tblTransportation[[#Totals],[Dic]],tblDaily[[#Totals],[Dic]],tblHome[[#Totals],[Dic]])</f>
        <v>0</v>
      </c>
      <c r="P130" s="55">
        <f>SUM(tblMisc[[#Totals],[Año]],tblFinancial[[#Totals],[Año]],tblPersonal[[#Totals],[Año]],tblDues[[#Totals],[Año]],tblRecreation[[#Totals],[Año]],tblVacations[[#Totals],[Año]],tblHealth[[#Totals],[Año]],tblEntertainment[[#Totals],[Año]],tblTransportation[[#Totals],[Año]],tblDaily[[#Totals],[Año]],tblHome[[#Totals],[Año]])</f>
        <v>1782</v>
      </c>
      <c r="Q130" s="39"/>
    </row>
    <row r="131" spans="2:17" ht="15.9" customHeight="1" x14ac:dyDescent="0.2">
      <c r="B131" s="67"/>
      <c r="C131" s="27" t="s">
        <v>77</v>
      </c>
      <c r="D131" s="55">
        <f>tblIncome[[#Totals],[Ene]]-D130</f>
        <v>225</v>
      </c>
      <c r="E131" s="56">
        <f>tblIncome[[#Totals],[Feb]]-E130</f>
        <v>-1205</v>
      </c>
      <c r="F131" s="55">
        <f>tblIncome[[#Totals],[Marzo]]-F130</f>
        <v>-262</v>
      </c>
      <c r="G131" s="56">
        <f>tblIncome[[#Totals],[Abril]]-G130</f>
        <v>-40</v>
      </c>
      <c r="H131" s="55">
        <f>tblIncome[[#Totals],[Mayo]]-H130</f>
        <v>0</v>
      </c>
      <c r="I131" s="56">
        <f>tblIncome[[#Totals],[Junio]]-I130</f>
        <v>0</v>
      </c>
      <c r="J131" s="55">
        <f>tblIncome[[#Totals],[Julio]]-J130</f>
        <v>0</v>
      </c>
      <c r="K131" s="56">
        <f>tblIncome[[#Totals],[Ago]]-K130</f>
        <v>0</v>
      </c>
      <c r="L131" s="55">
        <f>tblIncome[[#Totals],[Sept]]-L130</f>
        <v>0</v>
      </c>
      <c r="M131" s="56">
        <f>tblIncome[[#Totals],[Oct]]-M130</f>
        <v>0</v>
      </c>
      <c r="N131" s="55">
        <f>tblIncome[[#Totals],[Nov]]-N130</f>
        <v>0</v>
      </c>
      <c r="O131" s="56">
        <f>tblIncome[[#Totals],[Dic]]-O130</f>
        <v>0</v>
      </c>
      <c r="P131" s="55">
        <f>tblIncome[[#Totals],[Año]]-P130</f>
        <v>-1282</v>
      </c>
      <c r="Q131" s="39"/>
    </row>
    <row r="132" spans="2:17" ht="8.1" customHeight="1" x14ac:dyDescent="0.2">
      <c r="B132" s="67"/>
      <c r="C132" s="28"/>
      <c r="D132" s="30"/>
      <c r="E132" s="28"/>
      <c r="F132" s="30"/>
      <c r="G132" s="28"/>
      <c r="H132" s="30"/>
      <c r="I132" s="28"/>
      <c r="J132" s="30"/>
      <c r="K132" s="28"/>
      <c r="L132" s="30"/>
      <c r="M132" s="28"/>
      <c r="N132" s="30"/>
      <c r="O132" s="28"/>
      <c r="P132" s="30"/>
      <c r="Q132" s="28"/>
    </row>
  </sheetData>
  <mergeCells count="1">
    <mergeCell ref="C2:D2"/>
  </mergeCells>
  <phoneticPr fontId="30" type="noConversion"/>
  <conditionalFormatting sqref="D131:P131">
    <cfRule type="cellIs" dxfId="106" priority="1" operator="lessThan">
      <formula>0</formula>
    </cfRule>
  </conditionalFormatting>
  <printOptions horizontalCentered="1"/>
  <pageMargins left="0.4" right="0.4" top="0.4" bottom="0.4" header="0.3" footer="0.3"/>
  <pageSetup paperSize="9" scale="50" fitToHeight="0" orientation="landscape" r:id="rId1"/>
  <headerFooter differentFirst="1">
    <oddFooter>Page &amp;P of &amp;N</oddFooter>
  </headerFooter>
  <ignoredErrors>
    <ignoredError sqref="D130:P130" calculatedColumn="1"/>
  </ignoredErrors>
  <drawing r:id="rId2"/>
  <tableParts count="13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 xr2:uid="{00000000-0003-0000-0000-00000D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'PRESUPUESTO PERSONAL'!D121:O121</xm:f>
              <xm:sqref>Q121</xm:sqref>
            </x14:sparkline>
            <x14:sparkline>
              <xm:f>'PRESUPUESTO PERSONAL'!D122:O122</xm:f>
              <xm:sqref>Q122</xm:sqref>
            </x14:sparkline>
            <x14:sparkline>
              <xm:f>'PRESUPUESTO PERSONAL'!D123:O123</xm:f>
              <xm:sqref>Q123</xm:sqref>
            </x14:sparkline>
            <x14:sparkline>
              <xm:f>'PRESUPUESTO PERSONAL'!D124:O124</xm:f>
              <xm:sqref>Q124</xm:sqref>
            </x14:sparkline>
            <x14:sparkline>
              <xm:f>'PRESUPUESTO PERSONAL'!D125:O125</xm:f>
              <xm:sqref>Q125</xm:sqref>
            </x14:sparkline>
            <x14:sparkline>
              <xm:f>'PRESUPUESTO PERSONAL'!D126:O126</xm:f>
              <xm:sqref>Q126</xm:sqref>
            </x14:sparkline>
          </x14:sparklines>
        </x14:sparklineGroup>
        <x14:sparklineGroup displayEmptyCellsAs="gap" high="1" low="1" xr2:uid="{00000000-0003-0000-0000-00000C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'PRESUPUESTO PERSONAL'!D7:O7</xm:f>
              <xm:sqref>Q7</xm:sqref>
            </x14:sparkline>
            <x14:sparkline>
              <xm:f>'PRESUPUESTO PERSONAL'!D8:O8</xm:f>
              <xm:sqref>Q8</xm:sqref>
            </x14:sparkline>
            <x14:sparkline>
              <xm:f>'PRESUPUESTO PERSONAL'!D9:O9</xm:f>
              <xm:sqref>Q9</xm:sqref>
            </x14:sparkline>
            <x14:sparkline>
              <xm:f>'PRESUPUESTO PERSONAL'!D10:O10</xm:f>
              <xm:sqref>Q10</xm:sqref>
            </x14:sparkline>
          </x14:sparklines>
        </x14:sparklineGroup>
        <x14:sparklineGroup displayEmptyCellsAs="gap" high="1" low="1" xr2:uid="{00000000-0003-0000-0000-00000B000000}">
          <x14:colorSeries theme="0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'PRESUPUESTO PERSONAL'!D130:O130</xm:f>
              <xm:sqref>Q130</xm:sqref>
            </x14:sparkline>
            <x14:sparkline>
              <xm:f>'PRESUPUESTO PERSONAL'!D131:O131</xm:f>
              <xm:sqref>Q131</xm:sqref>
            </x14:sparkline>
          </x14:sparklines>
        </x14:sparklineGroup>
        <x14:sparklineGroup displayEmptyCellsAs="gap" high="1" low="1" xr2:uid="{00000000-0003-0000-0000-00000A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'PRESUPUESTO PERSONAL'!D111:O111</xm:f>
              <xm:sqref>Q111</xm:sqref>
            </x14:sparkline>
            <x14:sparkline>
              <xm:f>'PRESUPUESTO PERSONAL'!D112:O112</xm:f>
              <xm:sqref>Q112</xm:sqref>
            </x14:sparkline>
            <x14:sparkline>
              <xm:f>'PRESUPUESTO PERSONAL'!D113:O113</xm:f>
              <xm:sqref>Q113</xm:sqref>
            </x14:sparkline>
            <x14:sparkline>
              <xm:f>'PRESUPUESTO PERSONAL'!D114:O114</xm:f>
              <xm:sqref>Q114</xm:sqref>
            </x14:sparkline>
            <x14:sparkline>
              <xm:f>'PRESUPUESTO PERSONAL'!D115:O115</xm:f>
              <xm:sqref>Q115</xm:sqref>
            </x14:sparkline>
            <x14:sparkline>
              <xm:f>'PRESUPUESTO PERSONAL'!D116:O116</xm:f>
              <xm:sqref>Q116</xm:sqref>
            </x14:sparkline>
          </x14:sparklines>
        </x14:sparklineGroup>
        <x14:sparklineGroup displayEmptyCellsAs="gap" high="1" low="1" xr2:uid="{00000000-0003-0000-0000-000009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'PRESUPUESTO PERSONAL'!D101:O101</xm:f>
              <xm:sqref>Q101</xm:sqref>
            </x14:sparkline>
            <x14:sparkline>
              <xm:f>'PRESUPUESTO PERSONAL'!D102:O102</xm:f>
              <xm:sqref>Q102</xm:sqref>
            </x14:sparkline>
            <x14:sparkline>
              <xm:f>'PRESUPUESTO PERSONAL'!D103:O103</xm:f>
              <xm:sqref>Q103</xm:sqref>
            </x14:sparkline>
            <x14:sparkline>
              <xm:f>'PRESUPUESTO PERSONAL'!D104:O104</xm:f>
              <xm:sqref>Q104</xm:sqref>
            </x14:sparkline>
            <x14:sparkline>
              <xm:f>'PRESUPUESTO PERSONAL'!D105:O105</xm:f>
              <xm:sqref>Q105</xm:sqref>
            </x14:sparkline>
            <x14:sparkline>
              <xm:f>'PRESUPUESTO PERSONAL'!D106:O106</xm:f>
              <xm:sqref>Q106</xm:sqref>
            </x14:sparkline>
          </x14:sparklines>
        </x14:sparklineGroup>
        <x14:sparklineGroup displayEmptyCellsAs="gap" high="1" low="1" xr2:uid="{00000000-0003-0000-0000-000008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'PRESUPUESTO PERSONAL'!D89:O89</xm:f>
              <xm:sqref>Q89</xm:sqref>
            </x14:sparkline>
            <x14:sparkline>
              <xm:f>'PRESUPUESTO PERSONAL'!D90:O90</xm:f>
              <xm:sqref>Q90</xm:sqref>
            </x14:sparkline>
            <x14:sparkline>
              <xm:f>'PRESUPUESTO PERSONAL'!D91:O91</xm:f>
              <xm:sqref>Q91</xm:sqref>
            </x14:sparkline>
            <x14:sparkline>
              <xm:f>'PRESUPUESTO PERSONAL'!D92:O92</xm:f>
              <xm:sqref>Q92</xm:sqref>
            </x14:sparkline>
            <x14:sparkline>
              <xm:f>'PRESUPUESTO PERSONAL'!D93:O93</xm:f>
              <xm:sqref>Q93</xm:sqref>
            </x14:sparkline>
            <x14:sparkline>
              <xm:f>'PRESUPUESTO PERSONAL'!D94:O94</xm:f>
              <xm:sqref>Q94</xm:sqref>
            </x14:sparkline>
            <x14:sparkline>
              <xm:f>'PRESUPUESTO PERSONAL'!D95:O95</xm:f>
              <xm:sqref>Q95</xm:sqref>
            </x14:sparkline>
            <x14:sparkline>
              <xm:f>'PRESUPUESTO PERSONAL'!D96:O96</xm:f>
              <xm:sqref>Q96</xm:sqref>
            </x14:sparkline>
          </x14:sparklines>
        </x14:sparklineGroup>
        <x14:sparklineGroup displayEmptyCellsAs="gap" high="1" low="1" xr2:uid="{00000000-0003-0000-0000-000007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'PRESUPUESTO PERSONAL'!D80:O80</xm:f>
              <xm:sqref>Q80</xm:sqref>
            </x14:sparkline>
            <x14:sparkline>
              <xm:f>'PRESUPUESTO PERSONAL'!D81:O81</xm:f>
              <xm:sqref>Q81</xm:sqref>
            </x14:sparkline>
            <x14:sparkline>
              <xm:f>'PRESUPUESTO PERSONAL'!D82:O82</xm:f>
              <xm:sqref>Q82</xm:sqref>
            </x14:sparkline>
            <x14:sparkline>
              <xm:f>'PRESUPUESTO PERSONAL'!D83:O83</xm:f>
              <xm:sqref>Q83</xm:sqref>
            </x14:sparkline>
            <x14:sparkline>
              <xm:f>'PRESUPUESTO PERSONAL'!D84:O84</xm:f>
              <xm:sqref>Q84</xm:sqref>
            </x14:sparkline>
          </x14:sparklines>
        </x14:sparklineGroup>
        <x14:sparklineGroup displayEmptyCellsAs="gap" high="1" low="1" xr2:uid="{00000000-0003-0000-0000-000006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'PRESUPUESTO PERSONAL'!D69:O69</xm:f>
              <xm:sqref>Q69</xm:sqref>
            </x14:sparkline>
            <x14:sparkline>
              <xm:f>'PRESUPUESTO PERSONAL'!D70:O70</xm:f>
              <xm:sqref>Q70</xm:sqref>
            </x14:sparkline>
            <x14:sparkline>
              <xm:f>'PRESUPUESTO PERSONAL'!D71:O71</xm:f>
              <xm:sqref>Q71</xm:sqref>
            </x14:sparkline>
            <x14:sparkline>
              <xm:f>'PRESUPUESTO PERSONAL'!D72:O72</xm:f>
              <xm:sqref>Q72</xm:sqref>
            </x14:sparkline>
            <x14:sparkline>
              <xm:f>'PRESUPUESTO PERSONAL'!D73:O73</xm:f>
              <xm:sqref>Q73</xm:sqref>
            </x14:sparkline>
            <x14:sparkline>
              <xm:f>'PRESUPUESTO PERSONAL'!D74:O74</xm:f>
              <xm:sqref>Q74</xm:sqref>
            </x14:sparkline>
            <x14:sparkline>
              <xm:f>'PRESUPUESTO PERSONAL'!D75:O75</xm:f>
              <xm:sqref>Q75</xm:sqref>
            </x14:sparkline>
          </x14:sparklines>
        </x14:sparklineGroup>
        <x14:sparklineGroup displayEmptyCellsAs="gap" high="1" low="1" xr2:uid="{00000000-0003-0000-0000-000005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'PRESUPUESTO PERSONAL'!D57:O57</xm:f>
              <xm:sqref>Q57</xm:sqref>
            </x14:sparkline>
            <x14:sparkline>
              <xm:f>'PRESUPUESTO PERSONAL'!D58:O58</xm:f>
              <xm:sqref>Q58</xm:sqref>
            </x14:sparkline>
            <x14:sparkline>
              <xm:f>'PRESUPUESTO PERSONAL'!D59:O59</xm:f>
              <xm:sqref>Q59</xm:sqref>
            </x14:sparkline>
            <x14:sparkline>
              <xm:f>'PRESUPUESTO PERSONAL'!D60:O60</xm:f>
              <xm:sqref>Q60</xm:sqref>
            </x14:sparkline>
            <x14:sparkline>
              <xm:f>'PRESUPUESTO PERSONAL'!D61:O61</xm:f>
              <xm:sqref>Q61</xm:sqref>
            </x14:sparkline>
            <x14:sparkline>
              <xm:f>'PRESUPUESTO PERSONAL'!D62:O62</xm:f>
              <xm:sqref>Q62</xm:sqref>
            </x14:sparkline>
            <x14:sparkline>
              <xm:f>'PRESUPUESTO PERSONAL'!D63:O63</xm:f>
              <xm:sqref>Q63</xm:sqref>
            </x14:sparkline>
            <x14:sparkline>
              <xm:f>'PRESUPUESTO PERSONAL'!D64:O64</xm:f>
              <xm:sqref>Q64</xm:sqref>
            </x14:sparkline>
          </x14:sparklines>
        </x14:sparklineGroup>
        <x14:sparklineGroup displayEmptyCellsAs="gap" high="1" low="1" xr2:uid="{00000000-0003-0000-0000-000004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'PRESUPUESTO PERSONAL'!D48:O48</xm:f>
              <xm:sqref>Q48</xm:sqref>
            </x14:sparkline>
            <x14:sparkline>
              <xm:f>'PRESUPUESTO PERSONAL'!D49:O49</xm:f>
              <xm:sqref>Q49</xm:sqref>
            </x14:sparkline>
            <x14:sparkline>
              <xm:f>'PRESUPUESTO PERSONAL'!D50:O50</xm:f>
              <xm:sqref>Q50</xm:sqref>
            </x14:sparkline>
            <x14:sparkline>
              <xm:f>'PRESUPUESTO PERSONAL'!D51:O51</xm:f>
              <xm:sqref>Q51</xm:sqref>
            </x14:sparkline>
            <x14:sparkline>
              <xm:f>'PRESUPUESTO PERSONAL'!D52:O52</xm:f>
              <xm:sqref>Q52</xm:sqref>
            </x14:sparkline>
          </x14:sparklines>
        </x14:sparklineGroup>
        <x14:sparklineGroup displayEmptyCellsAs="gap" high="1" low="1" xr2:uid="{00000000-0003-0000-0000-000003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'PRESUPUESTO PERSONAL'!D37:O37</xm:f>
              <xm:sqref>Q37</xm:sqref>
            </x14:sparkline>
            <x14:sparkline>
              <xm:f>'PRESUPUESTO PERSONAL'!D38:O38</xm:f>
              <xm:sqref>Q38</xm:sqref>
            </x14:sparkline>
            <x14:sparkline>
              <xm:f>'PRESUPUESTO PERSONAL'!D39:O39</xm:f>
              <xm:sqref>Q39</xm:sqref>
            </x14:sparkline>
            <x14:sparkline>
              <xm:f>'PRESUPUESTO PERSONAL'!D40:O40</xm:f>
              <xm:sqref>Q40</xm:sqref>
            </x14:sparkline>
            <x14:sparkline>
              <xm:f>'PRESUPUESTO PERSONAL'!D41:O41</xm:f>
              <xm:sqref>Q41</xm:sqref>
            </x14:sparkline>
            <x14:sparkline>
              <xm:f>'PRESUPUESTO PERSONAL'!D42:O42</xm:f>
              <xm:sqref>Q42</xm:sqref>
            </x14:sparkline>
            <x14:sparkline>
              <xm:f>'PRESUPUESTO PERSONAL'!D43:O43</xm:f>
              <xm:sqref>Q43</xm:sqref>
            </x14:sparkline>
          </x14:sparklines>
        </x14:sparklineGroup>
        <x14:sparklineGroup displayEmptyCellsAs="gap" high="1" low="1" xr2:uid="{00000000-0003-0000-0000-000002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'PRESUPUESTO PERSONAL'!D26:O26</xm:f>
              <xm:sqref>Q26</xm:sqref>
            </x14:sparkline>
            <x14:sparkline>
              <xm:f>'PRESUPUESTO PERSONAL'!D27:O27</xm:f>
              <xm:sqref>Q27</xm:sqref>
            </x14:sparkline>
            <x14:sparkline>
              <xm:f>'PRESUPUESTO PERSONAL'!D28:O28</xm:f>
              <xm:sqref>Q28</xm:sqref>
            </x14:sparkline>
            <x14:sparkline>
              <xm:f>'PRESUPUESTO PERSONAL'!D29:O29</xm:f>
              <xm:sqref>Q29</xm:sqref>
            </x14:sparkline>
            <x14:sparkline>
              <xm:f>'PRESUPUESTO PERSONAL'!D30:O30</xm:f>
              <xm:sqref>Q30</xm:sqref>
            </x14:sparkline>
            <x14:sparkline>
              <xm:f>'PRESUPUESTO PERSONAL'!D31:O31</xm:f>
              <xm:sqref>Q31</xm:sqref>
            </x14:sparkline>
            <x14:sparkline>
              <xm:f>'PRESUPUESTO PERSONAL'!D32:O32</xm:f>
              <xm:sqref>Q32</xm:sqref>
            </x14:sparkline>
          </x14:sparklines>
        </x14:sparklineGroup>
        <x14:sparklineGroup displayEmptyCellsAs="gap" high="1" low="1" xr2:uid="{00000000-0003-0000-0000-000001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'PRESUPUESTO PERSONAL'!D16:O16</xm:f>
              <xm:sqref>Q16</xm:sqref>
            </x14:sparkline>
          </x14:sparklines>
        </x14:sparklineGroup>
        <x14:sparklineGroup displayEmptyCellsAs="gap" high="1" low="1" xr2:uid="{00000000-0003-0000-0000-000000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'PRESUPUESTO PERSONAL'!D17:O17</xm:f>
              <xm:sqref>Q17</xm:sqref>
            </x14:sparkline>
            <x14:sparkline>
              <xm:f>'PRESUPUESTO PERSONAL'!D18:O18</xm:f>
              <xm:sqref>Q18</xm:sqref>
            </x14:sparkline>
            <x14:sparkline>
              <xm:f>'PRESUPUESTO PERSONAL'!D19:O19</xm:f>
              <xm:sqref>Q19</xm:sqref>
            </x14:sparkline>
            <x14:sparkline>
              <xm:f>'PRESUPUESTO PERSONAL'!D20:O20</xm:f>
              <xm:sqref>Q20</xm:sqref>
            </x14:sparkline>
            <x14:sparkline>
              <xm:f>'PRESUPUESTO PERSONAL'!D21:O21</xm:f>
              <xm:sqref>Q21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8DEE0-6192-4B64-A39C-021FAFA6C593}">
  <sheetPr>
    <tabColor theme="4"/>
    <pageSetUpPr autoPageBreaks="0" fitToPage="1"/>
  </sheetPr>
  <dimension ref="A1:R132"/>
  <sheetViews>
    <sheetView showGridLines="0" zoomScale="96" zoomScaleNormal="96" workbookViewId="0">
      <selection activeCell="C39" sqref="C39"/>
    </sheetView>
  </sheetViews>
  <sheetFormatPr baseColWidth="10" defaultColWidth="9" defaultRowHeight="12.6" x14ac:dyDescent="0.2"/>
  <cols>
    <col min="1" max="1" width="3.08984375" style="2" customWidth="1"/>
    <col min="2" max="2" width="1.90625" customWidth="1"/>
    <col min="3" max="3" width="46.26953125" bestFit="1" customWidth="1"/>
    <col min="4" max="16" width="12.36328125" style="1" customWidth="1"/>
    <col min="17" max="17" width="12.36328125" customWidth="1"/>
  </cols>
  <sheetData>
    <row r="1" spans="1:17" s="60" customFormat="1" ht="87" customHeight="1" x14ac:dyDescent="0.4"/>
    <row r="2" spans="1:17" s="61" customFormat="1" ht="35.25" customHeight="1" x14ac:dyDescent="0.8">
      <c r="A2" s="62"/>
      <c r="C2" s="68"/>
      <c r="D2" s="68"/>
      <c r="E2" s="63"/>
      <c r="F2" s="63"/>
      <c r="G2" s="63"/>
      <c r="H2" s="63"/>
      <c r="I2" s="64"/>
      <c r="J2" s="63"/>
      <c r="K2" s="63"/>
      <c r="L2" s="63"/>
      <c r="M2" s="63"/>
      <c r="N2" s="63"/>
      <c r="O2" s="63"/>
      <c r="P2" s="63"/>
    </row>
    <row r="3" spans="1:17" ht="26.25" customHeight="1" x14ac:dyDescent="0.2"/>
    <row r="4" spans="1:17" ht="21" customHeight="1" x14ac:dyDescent="0.2">
      <c r="B4" s="67"/>
      <c r="C4" s="8" t="s">
        <v>0</v>
      </c>
      <c r="D4" s="9" t="s">
        <v>78</v>
      </c>
      <c r="E4" s="9" t="s">
        <v>80</v>
      </c>
      <c r="F4" s="9" t="s">
        <v>82</v>
      </c>
      <c r="G4" s="9" t="s">
        <v>84</v>
      </c>
      <c r="H4" s="9" t="s">
        <v>86</v>
      </c>
      <c r="I4" s="9" t="s">
        <v>88</v>
      </c>
      <c r="J4" s="9" t="s">
        <v>90</v>
      </c>
      <c r="K4" s="9" t="s">
        <v>92</v>
      </c>
      <c r="L4" s="9" t="s">
        <v>94</v>
      </c>
      <c r="M4" s="9" t="s">
        <v>96</v>
      </c>
      <c r="N4" s="9" t="s">
        <v>98</v>
      </c>
      <c r="O4" s="9" t="s">
        <v>100</v>
      </c>
      <c r="P4" s="9" t="s">
        <v>102</v>
      </c>
      <c r="Q4" s="9"/>
    </row>
    <row r="5" spans="1:17" ht="21" customHeight="1" x14ac:dyDescent="0.2">
      <c r="B5" s="67"/>
      <c r="C5" s="10" t="s">
        <v>1</v>
      </c>
      <c r="D5" s="40"/>
      <c r="E5" s="40"/>
      <c r="F5" s="41"/>
      <c r="G5" s="42"/>
      <c r="H5" s="41"/>
      <c r="I5" s="41"/>
      <c r="J5" s="41"/>
      <c r="K5" s="41"/>
      <c r="L5" s="41"/>
      <c r="M5" s="41"/>
      <c r="N5" s="41"/>
      <c r="O5" s="41"/>
      <c r="P5" s="41"/>
      <c r="Q5" s="17" t="s">
        <v>104</v>
      </c>
    </row>
    <row r="6" spans="1:17" ht="15.9" hidden="1" customHeight="1" x14ac:dyDescent="0.2">
      <c r="B6" s="67"/>
      <c r="C6" t="s">
        <v>1</v>
      </c>
      <c r="D6" s="43" t="s">
        <v>79</v>
      </c>
      <c r="E6" s="43" t="s">
        <v>81</v>
      </c>
      <c r="F6" s="43" t="s">
        <v>83</v>
      </c>
      <c r="G6" s="43" t="s">
        <v>85</v>
      </c>
      <c r="H6" s="43" t="s">
        <v>87</v>
      </c>
      <c r="I6" s="43" t="s">
        <v>89</v>
      </c>
      <c r="J6" s="43" t="s">
        <v>91</v>
      </c>
      <c r="K6" s="43" t="s">
        <v>93</v>
      </c>
      <c r="L6" s="43" t="s">
        <v>95</v>
      </c>
      <c r="M6" s="43" t="s">
        <v>97</v>
      </c>
      <c r="N6" s="43" t="s">
        <v>99</v>
      </c>
      <c r="O6" s="43" t="s">
        <v>101</v>
      </c>
      <c r="P6" s="43" t="s">
        <v>103</v>
      </c>
      <c r="Q6" t="s">
        <v>105</v>
      </c>
    </row>
    <row r="7" spans="1:17" ht="15.9" customHeight="1" x14ac:dyDescent="0.2">
      <c r="B7" s="67"/>
      <c r="C7" s="6" t="s">
        <v>110</v>
      </c>
      <c r="D7" s="44">
        <v>700000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>
        <f>SUM(tblIncome15[[#This Row],[Ene]:[Dic]])</f>
        <v>700000</v>
      </c>
      <c r="Q7" s="32"/>
    </row>
    <row r="8" spans="1:17" ht="15.9" customHeight="1" x14ac:dyDescent="0.2">
      <c r="B8" s="67"/>
      <c r="C8" s="6" t="s">
        <v>2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>
        <f>SUM(tblIncome15[[#This Row],[Ene]:[Dic]])</f>
        <v>0</v>
      </c>
      <c r="Q8" s="33"/>
    </row>
    <row r="9" spans="1:17" ht="15.9" customHeight="1" x14ac:dyDescent="0.2">
      <c r="B9" s="67"/>
      <c r="C9" s="6" t="s">
        <v>111</v>
      </c>
      <c r="D9" s="44">
        <v>150000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>
        <f>SUM(tblIncome15[[#This Row],[Ene]:[Dic]])</f>
        <v>150000</v>
      </c>
      <c r="Q9" s="32"/>
    </row>
    <row r="10" spans="1:17" ht="21" customHeight="1" x14ac:dyDescent="0.2">
      <c r="B10" s="67"/>
      <c r="C10" s="65" t="s">
        <v>3</v>
      </c>
      <c r="D10" s="45">
        <f>SUBTOTAL(109,tblIncome15[Ene])</f>
        <v>850000</v>
      </c>
      <c r="E10" s="45">
        <f>SUBTOTAL(109,tblIncome15[Feb])</f>
        <v>0</v>
      </c>
      <c r="F10" s="45">
        <f>SUBTOTAL(109,tblIncome15[Marzo])</f>
        <v>0</v>
      </c>
      <c r="G10" s="45">
        <f>SUBTOTAL(109,tblIncome15[Abril])</f>
        <v>0</v>
      </c>
      <c r="H10" s="45">
        <f>SUBTOTAL(109,tblIncome15[Mayo])</f>
        <v>0</v>
      </c>
      <c r="I10" s="45">
        <f>SUBTOTAL(109,tblIncome15[Junio])</f>
        <v>0</v>
      </c>
      <c r="J10" s="45">
        <f>SUBTOTAL(109,tblIncome15[Julio])</f>
        <v>0</v>
      </c>
      <c r="K10" s="45">
        <f>SUBTOTAL(109,tblIncome15[Ago])</f>
        <v>0</v>
      </c>
      <c r="L10" s="45">
        <f>SUBTOTAL(109,tblIncome15[Sept])</f>
        <v>0</v>
      </c>
      <c r="M10" s="45">
        <f>SUBTOTAL(109,tblIncome15[Oct])</f>
        <v>0</v>
      </c>
      <c r="N10" s="45">
        <f>SUBTOTAL(109,tblIncome15[Nov])</f>
        <v>0</v>
      </c>
      <c r="O10" s="45">
        <f>SUBTOTAL(109,tblIncome15[Dic])</f>
        <v>0</v>
      </c>
      <c r="P10" s="45">
        <f>SUBTOTAL(109,tblIncome15[Año])</f>
        <v>850000</v>
      </c>
      <c r="Q10" s="14"/>
    </row>
    <row r="11" spans="1:17" ht="8.1" customHeight="1" x14ac:dyDescent="0.2">
      <c r="A11"/>
      <c r="B11" s="6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1:17" ht="24" customHeight="1" x14ac:dyDescent="0.2">
      <c r="D12"/>
      <c r="E12"/>
      <c r="F12"/>
      <c r="G12"/>
      <c r="H12"/>
      <c r="I12"/>
      <c r="J12"/>
      <c r="K12"/>
      <c r="L12"/>
      <c r="M12"/>
      <c r="N12"/>
      <c r="O12"/>
      <c r="P12"/>
    </row>
    <row r="13" spans="1:17" ht="21" customHeight="1" x14ac:dyDescent="0.2">
      <c r="B13" s="67"/>
      <c r="C13" s="8" t="s">
        <v>4</v>
      </c>
      <c r="D13" s="9" t="s">
        <v>78</v>
      </c>
      <c r="E13" s="9" t="s">
        <v>80</v>
      </c>
      <c r="F13" s="9" t="s">
        <v>82</v>
      </c>
      <c r="G13" s="9" t="s">
        <v>84</v>
      </c>
      <c r="H13" s="9" t="s">
        <v>86</v>
      </c>
      <c r="I13" s="9" t="s">
        <v>88</v>
      </c>
      <c r="J13" s="9" t="s">
        <v>90</v>
      </c>
      <c r="K13" s="9" t="s">
        <v>92</v>
      </c>
      <c r="L13" s="9" t="s">
        <v>94</v>
      </c>
      <c r="M13" s="9" t="s">
        <v>96</v>
      </c>
      <c r="N13" s="9" t="s">
        <v>98</v>
      </c>
      <c r="O13" s="9" t="s">
        <v>100</v>
      </c>
      <c r="P13" s="9" t="s">
        <v>102</v>
      </c>
      <c r="Q13" s="9"/>
    </row>
    <row r="14" spans="1:17" ht="21" customHeight="1" x14ac:dyDescent="0.2">
      <c r="B14" s="67"/>
      <c r="C14" s="15" t="s">
        <v>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.9" hidden="1" customHeight="1" x14ac:dyDescent="0.2">
      <c r="B15" s="67"/>
      <c r="C15" t="s">
        <v>6</v>
      </c>
      <c r="D15" t="s">
        <v>79</v>
      </c>
      <c r="E15" t="s">
        <v>81</v>
      </c>
      <c r="F15" t="s">
        <v>83</v>
      </c>
      <c r="G15" t="s">
        <v>85</v>
      </c>
      <c r="H15" t="s">
        <v>87</v>
      </c>
      <c r="I15" t="s">
        <v>89</v>
      </c>
      <c r="J15" t="s">
        <v>91</v>
      </c>
      <c r="K15" t="s">
        <v>93</v>
      </c>
      <c r="L15" t="s">
        <v>95</v>
      </c>
      <c r="M15" t="s">
        <v>97</v>
      </c>
      <c r="N15" t="s">
        <v>99</v>
      </c>
      <c r="O15" t="s">
        <v>101</v>
      </c>
      <c r="P15" t="s">
        <v>103</v>
      </c>
      <c r="Q15" t="s">
        <v>105</v>
      </c>
    </row>
    <row r="16" spans="1:17" ht="15.9" customHeight="1" x14ac:dyDescent="0.2">
      <c r="B16" s="67"/>
      <c r="C16" s="5" t="s">
        <v>109</v>
      </c>
      <c r="D16" s="46">
        <v>300000</v>
      </c>
      <c r="E16" s="46">
        <v>750</v>
      </c>
      <c r="F16" s="46">
        <v>750</v>
      </c>
      <c r="G16" s="46"/>
      <c r="H16" s="46"/>
      <c r="I16" s="46"/>
      <c r="J16" s="46"/>
      <c r="K16" s="46"/>
      <c r="L16" s="46"/>
      <c r="M16" s="46"/>
      <c r="N16" s="46"/>
      <c r="O16" s="46"/>
      <c r="P16" s="46">
        <f>SUM(tblHome16[[#This Row],[Ene]:[Dic]])</f>
        <v>301500</v>
      </c>
      <c r="Q16" s="34"/>
    </row>
    <row r="17" spans="1:18" ht="15.9" customHeight="1" x14ac:dyDescent="0.2">
      <c r="B17" s="67"/>
      <c r="C17" s="5" t="s">
        <v>7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>
        <f>SUM(tblHome16[[#This Row],[Ene]:[Dic]])</f>
        <v>0</v>
      </c>
      <c r="Q17" s="35"/>
    </row>
    <row r="18" spans="1:18" ht="15.9" customHeight="1" x14ac:dyDescent="0.2">
      <c r="B18" s="67"/>
      <c r="C18" s="5" t="s">
        <v>8</v>
      </c>
      <c r="D18" s="46"/>
      <c r="E18" s="46"/>
      <c r="F18" s="46">
        <v>75</v>
      </c>
      <c r="G18" s="46"/>
      <c r="H18" s="46"/>
      <c r="I18" s="46"/>
      <c r="J18" s="46"/>
      <c r="K18" s="46"/>
      <c r="L18" s="46"/>
      <c r="M18" s="46"/>
      <c r="N18" s="46"/>
      <c r="O18" s="46"/>
      <c r="P18" s="46">
        <f>SUM(tblHome16[[#This Row],[Ene]:[Dic]])</f>
        <v>75</v>
      </c>
      <c r="Q18" s="34"/>
    </row>
    <row r="19" spans="1:18" ht="15.9" customHeight="1" x14ac:dyDescent="0.2">
      <c r="B19" s="67"/>
      <c r="C19" s="5" t="s">
        <v>9</v>
      </c>
      <c r="D19" s="46">
        <v>30000</v>
      </c>
      <c r="E19" s="46">
        <v>35</v>
      </c>
      <c r="F19" s="46">
        <v>35</v>
      </c>
      <c r="G19" s="46"/>
      <c r="H19" s="46"/>
      <c r="I19" s="46"/>
      <c r="J19" s="46"/>
      <c r="K19" s="46"/>
      <c r="L19" s="46"/>
      <c r="M19" s="46"/>
      <c r="N19" s="46"/>
      <c r="O19" s="46"/>
      <c r="P19" s="46">
        <f>SUM(tblHome16[[#This Row],[Ene]:[Dic]])</f>
        <v>30070</v>
      </c>
      <c r="Q19" s="35"/>
      <c r="R19" s="7"/>
    </row>
    <row r="20" spans="1:18" ht="15.9" customHeight="1" x14ac:dyDescent="0.2">
      <c r="B20" s="67"/>
      <c r="C20" s="5" t="s">
        <v>10</v>
      </c>
      <c r="D20" s="46">
        <v>200000</v>
      </c>
      <c r="E20" s="46">
        <v>165</v>
      </c>
      <c r="F20" s="46">
        <v>165</v>
      </c>
      <c r="G20" s="46"/>
      <c r="H20" s="46"/>
      <c r="I20" s="46"/>
      <c r="J20" s="46"/>
      <c r="K20" s="46"/>
      <c r="L20" s="46"/>
      <c r="M20" s="46"/>
      <c r="N20" s="46"/>
      <c r="O20" s="46"/>
      <c r="P20" s="46">
        <f>SUM(tblHome16[[#This Row],[Ene]:[Dic]])</f>
        <v>200330</v>
      </c>
      <c r="Q20" s="34"/>
    </row>
    <row r="21" spans="1:18" ht="21" customHeight="1" x14ac:dyDescent="0.2">
      <c r="A21"/>
      <c r="B21" s="67"/>
      <c r="C21" s="66" t="s">
        <v>3</v>
      </c>
      <c r="D21" s="47">
        <f>SUBTOTAL(109,tblHome16[Ene])</f>
        <v>530000</v>
      </c>
      <c r="E21" s="47">
        <f>SUBTOTAL(109,tblHome16[Feb])</f>
        <v>950</v>
      </c>
      <c r="F21" s="47">
        <f>SUBTOTAL(109,tblHome16[Marzo])</f>
        <v>1025</v>
      </c>
      <c r="G21" s="47">
        <f>SUBTOTAL(109,tblHome16[Abril])</f>
        <v>0</v>
      </c>
      <c r="H21" s="47">
        <f>SUBTOTAL(109,tblHome16[Mayo])</f>
        <v>0</v>
      </c>
      <c r="I21" s="47">
        <f>SUBTOTAL(109,tblHome16[Junio])</f>
        <v>0</v>
      </c>
      <c r="J21" s="47">
        <f>SUBTOTAL(109,tblHome16[Julio])</f>
        <v>0</v>
      </c>
      <c r="K21" s="47">
        <f>SUBTOTAL(109,tblHome16[Ago])</f>
        <v>0</v>
      </c>
      <c r="L21" s="47">
        <f>SUBTOTAL(109,tblHome16[Sept])</f>
        <v>0</v>
      </c>
      <c r="M21" s="47">
        <f>SUBTOTAL(109,tblHome16[Oct])</f>
        <v>0</v>
      </c>
      <c r="N21" s="47">
        <f>SUBTOTAL(109,tblHome16[Nov])</f>
        <v>0</v>
      </c>
      <c r="O21" s="47">
        <f>SUBTOTAL(109,tblHome16[Dic])</f>
        <v>0</v>
      </c>
      <c r="P21" s="47">
        <f>SUBTOTAL(109,tblHome16[Año])</f>
        <v>531975</v>
      </c>
      <c r="Q21" s="16"/>
    </row>
    <row r="22" spans="1:18" ht="8.1" customHeight="1" x14ac:dyDescent="0.2">
      <c r="B22" s="6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8" ht="24" customHeight="1" x14ac:dyDescent="0.2"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8" ht="21" customHeight="1" x14ac:dyDescent="0.2">
      <c r="B24" s="67"/>
      <c r="C24" s="31" t="s">
        <v>11</v>
      </c>
      <c r="D24" s="13"/>
      <c r="E24" s="3"/>
      <c r="F24" s="13"/>
      <c r="G24" s="3"/>
      <c r="H24" s="13"/>
      <c r="I24" s="3"/>
      <c r="J24" s="13"/>
      <c r="K24" s="3"/>
      <c r="L24" s="13"/>
      <c r="M24" s="3"/>
      <c r="N24" s="13"/>
      <c r="O24" s="3"/>
      <c r="P24" s="13"/>
      <c r="Q24" s="3"/>
    </row>
    <row r="25" spans="1:18" ht="15.9" hidden="1" customHeight="1" x14ac:dyDescent="0.2">
      <c r="B25" s="67"/>
      <c r="C25" t="s">
        <v>12</v>
      </c>
      <c r="D25" t="s">
        <v>79</v>
      </c>
      <c r="E25" t="s">
        <v>81</v>
      </c>
      <c r="F25" t="s">
        <v>83</v>
      </c>
      <c r="G25" t="s">
        <v>85</v>
      </c>
      <c r="H25" t="s">
        <v>87</v>
      </c>
      <c r="I25" t="s">
        <v>89</v>
      </c>
      <c r="J25" t="s">
        <v>91</v>
      </c>
      <c r="K25" t="s">
        <v>93</v>
      </c>
      <c r="L25" t="s">
        <v>95</v>
      </c>
      <c r="M25" t="s">
        <v>97</v>
      </c>
      <c r="N25" t="s">
        <v>99</v>
      </c>
      <c r="O25" t="s">
        <v>101</v>
      </c>
      <c r="P25" t="s">
        <v>103</v>
      </c>
      <c r="Q25" t="s">
        <v>105</v>
      </c>
    </row>
    <row r="26" spans="1:18" ht="15.9" customHeight="1" x14ac:dyDescent="0.2">
      <c r="B26" s="67"/>
      <c r="C26" s="21" t="s">
        <v>13</v>
      </c>
      <c r="D26" s="48">
        <v>191</v>
      </c>
      <c r="E26" s="49">
        <v>152</v>
      </c>
      <c r="F26" s="48">
        <v>145</v>
      </c>
      <c r="G26" s="49"/>
      <c r="H26" s="48"/>
      <c r="I26" s="49"/>
      <c r="J26" s="48"/>
      <c r="K26" s="49"/>
      <c r="L26" s="48"/>
      <c r="M26" s="49"/>
      <c r="N26" s="48"/>
      <c r="O26" s="49"/>
      <c r="P26" s="48">
        <f>SUM(tblDaily17[[#This Row],[Ene]:[Dic]])</f>
        <v>488</v>
      </c>
      <c r="Q26" s="37"/>
    </row>
    <row r="27" spans="1:18" ht="15.9" customHeight="1" x14ac:dyDescent="0.2">
      <c r="B27" s="67"/>
      <c r="C27" s="21" t="s">
        <v>14</v>
      </c>
      <c r="D27" s="48">
        <v>200</v>
      </c>
      <c r="E27" s="49">
        <v>200</v>
      </c>
      <c r="F27" s="48">
        <v>200</v>
      </c>
      <c r="G27" s="49"/>
      <c r="H27" s="48"/>
      <c r="I27" s="49"/>
      <c r="J27" s="48"/>
      <c r="K27" s="49"/>
      <c r="L27" s="48"/>
      <c r="M27" s="49"/>
      <c r="N27" s="48"/>
      <c r="O27" s="49"/>
      <c r="P27" s="48">
        <f>SUM(tblDaily17[[#This Row],[Ene]:[Dic]])</f>
        <v>600</v>
      </c>
      <c r="Q27" s="36"/>
    </row>
    <row r="28" spans="1:18" ht="15.9" customHeight="1" x14ac:dyDescent="0.2">
      <c r="B28" s="67"/>
      <c r="C28" s="21" t="s">
        <v>15</v>
      </c>
      <c r="D28" s="48">
        <v>20</v>
      </c>
      <c r="E28" s="49"/>
      <c r="F28" s="48">
        <v>20</v>
      </c>
      <c r="G28" s="49"/>
      <c r="H28" s="48"/>
      <c r="I28" s="49"/>
      <c r="J28" s="48"/>
      <c r="K28" s="49"/>
      <c r="L28" s="48"/>
      <c r="M28" s="49"/>
      <c r="N28" s="48"/>
      <c r="O28" s="49"/>
      <c r="P28" s="48">
        <f>SUM(tblDaily17[[#This Row],[Ene]:[Dic]])</f>
        <v>40</v>
      </c>
      <c r="Q28" s="37"/>
    </row>
    <row r="29" spans="1:18" ht="15.9" customHeight="1" x14ac:dyDescent="0.2">
      <c r="B29" s="67"/>
      <c r="C29" s="21" t="s">
        <v>16</v>
      </c>
      <c r="D29" s="48">
        <v>55</v>
      </c>
      <c r="E29" s="49"/>
      <c r="F29" s="48">
        <v>56</v>
      </c>
      <c r="G29" s="49"/>
      <c r="H29" s="48"/>
      <c r="I29" s="49"/>
      <c r="J29" s="48"/>
      <c r="K29" s="49"/>
      <c r="L29" s="48"/>
      <c r="M29" s="49"/>
      <c r="N29" s="48"/>
      <c r="O29" s="49"/>
      <c r="P29" s="48">
        <f>SUM(tblDaily17[[#This Row],[Ene]:[Dic]])</f>
        <v>111</v>
      </c>
      <c r="Q29" s="36"/>
    </row>
    <row r="30" spans="1:18" ht="15.9" customHeight="1" x14ac:dyDescent="0.2">
      <c r="B30" s="67"/>
      <c r="C30" s="21" t="s">
        <v>17</v>
      </c>
      <c r="D30" s="48">
        <v>25</v>
      </c>
      <c r="E30" s="49">
        <v>17</v>
      </c>
      <c r="F30" s="48">
        <v>7</v>
      </c>
      <c r="G30" s="49"/>
      <c r="H30" s="48"/>
      <c r="I30" s="49"/>
      <c r="J30" s="48"/>
      <c r="K30" s="49"/>
      <c r="L30" s="48"/>
      <c r="M30" s="49"/>
      <c r="N30" s="48"/>
      <c r="O30" s="49"/>
      <c r="P30" s="48">
        <f>SUM(tblDaily17[[#This Row],[Ene]:[Dic]])</f>
        <v>49</v>
      </c>
      <c r="Q30" s="37"/>
    </row>
    <row r="31" spans="1:18" ht="19.5" customHeight="1" x14ac:dyDescent="0.2">
      <c r="A31"/>
      <c r="B31" s="67"/>
      <c r="C31" s="21" t="s">
        <v>18</v>
      </c>
      <c r="D31" s="48">
        <v>10</v>
      </c>
      <c r="E31" s="49">
        <v>5</v>
      </c>
      <c r="F31" s="48">
        <v>7</v>
      </c>
      <c r="G31" s="49"/>
      <c r="H31" s="48"/>
      <c r="I31" s="49"/>
      <c r="J31" s="48"/>
      <c r="K31" s="49"/>
      <c r="L31" s="48"/>
      <c r="M31" s="49"/>
      <c r="N31" s="48"/>
      <c r="O31" s="49"/>
      <c r="P31" s="48">
        <f>SUM(tblDaily17[[#This Row],[Ene]:[Dic]])</f>
        <v>22</v>
      </c>
      <c r="Q31" s="36"/>
    </row>
    <row r="32" spans="1:18" ht="21" customHeight="1" x14ac:dyDescent="0.2">
      <c r="B32" s="67"/>
      <c r="C32" s="20" t="s">
        <v>3</v>
      </c>
      <c r="D32" s="50">
        <f>SUBTOTAL(109,tblDaily17[Ene])</f>
        <v>501</v>
      </c>
      <c r="E32" s="51">
        <f>SUBTOTAL(109,tblDaily17[Feb])</f>
        <v>374</v>
      </c>
      <c r="F32" s="50">
        <f>SUBTOTAL(109,tblDaily17[Marzo])</f>
        <v>435</v>
      </c>
      <c r="G32" s="51">
        <f>SUBTOTAL(109,tblDaily17[Abril])</f>
        <v>0</v>
      </c>
      <c r="H32" s="50">
        <f>SUBTOTAL(109,tblDaily17[Mayo])</f>
        <v>0</v>
      </c>
      <c r="I32" s="51">
        <f>SUBTOTAL(109,tblDaily17[Junio])</f>
        <v>0</v>
      </c>
      <c r="J32" s="50">
        <f>SUBTOTAL(109,tblDaily17[Julio])</f>
        <v>0</v>
      </c>
      <c r="K32" s="51">
        <f>SUBTOTAL(109,tblDaily17[Ago])</f>
        <v>0</v>
      </c>
      <c r="L32" s="50">
        <f>SUBTOTAL(109,tblDaily17[Sept])</f>
        <v>0</v>
      </c>
      <c r="M32" s="51">
        <f>SUBTOTAL(109,tblDaily17[Oct])</f>
        <v>0</v>
      </c>
      <c r="N32" s="50">
        <f>SUBTOTAL(109,tblDaily17[Nov])</f>
        <v>0</v>
      </c>
      <c r="O32" s="51">
        <f>SUBTOTAL(109,tblDaily17[Dic])</f>
        <v>0</v>
      </c>
      <c r="P32" s="50">
        <f>SUBTOTAL(109,tblDaily17[Año])</f>
        <v>1310</v>
      </c>
      <c r="Q32" s="11"/>
    </row>
    <row r="33" spans="1:17" ht="8.1" customHeight="1" x14ac:dyDescent="0.2">
      <c r="B33" s="67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1:17" ht="20.100000000000001" customHeight="1" x14ac:dyDescent="0.2"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7" ht="21" customHeight="1" x14ac:dyDescent="0.2">
      <c r="B35" s="67"/>
      <c r="C35" s="18" t="s">
        <v>19</v>
      </c>
      <c r="D35" s="13"/>
      <c r="E35" s="3"/>
      <c r="F35" s="13"/>
      <c r="G35" s="3"/>
      <c r="H35" s="13"/>
      <c r="I35" s="3"/>
      <c r="J35" s="13"/>
      <c r="K35" s="3"/>
      <c r="L35" s="13"/>
      <c r="M35" s="3"/>
      <c r="N35" s="13"/>
      <c r="O35" s="3"/>
      <c r="P35" s="13"/>
      <c r="Q35" s="3"/>
    </row>
    <row r="36" spans="1:17" ht="15.9" hidden="1" customHeight="1" x14ac:dyDescent="0.2">
      <c r="B36" s="67"/>
      <c r="C36" t="s">
        <v>20</v>
      </c>
      <c r="D36" t="s">
        <v>79</v>
      </c>
      <c r="E36" t="s">
        <v>81</v>
      </c>
      <c r="F36" t="s">
        <v>83</v>
      </c>
      <c r="G36" t="s">
        <v>85</v>
      </c>
      <c r="H36" t="s">
        <v>87</v>
      </c>
      <c r="I36" t="s">
        <v>89</v>
      </c>
      <c r="J36" t="s">
        <v>91</v>
      </c>
      <c r="K36" t="s">
        <v>93</v>
      </c>
      <c r="L36" t="s">
        <v>95</v>
      </c>
      <c r="M36" t="s">
        <v>97</v>
      </c>
      <c r="N36" t="s">
        <v>99</v>
      </c>
      <c r="O36" t="s">
        <v>101</v>
      </c>
      <c r="P36" t="s">
        <v>103</v>
      </c>
      <c r="Q36" t="s">
        <v>105</v>
      </c>
    </row>
    <row r="37" spans="1:17" ht="15.9" customHeight="1" x14ac:dyDescent="0.2">
      <c r="B37" s="67"/>
      <c r="C37" s="4" t="s">
        <v>21</v>
      </c>
      <c r="D37" s="48">
        <v>195</v>
      </c>
      <c r="E37" s="52">
        <v>125</v>
      </c>
      <c r="F37" s="48">
        <v>171</v>
      </c>
      <c r="G37" s="52"/>
      <c r="H37" s="48"/>
      <c r="I37" s="52"/>
      <c r="J37" s="48"/>
      <c r="K37" s="52"/>
      <c r="L37" s="48"/>
      <c r="M37" s="52"/>
      <c r="N37" s="48"/>
      <c r="O37" s="52"/>
      <c r="P37" s="48">
        <f>SUM(tblTransportation18[[#This Row],[Ene]:[Dic]])</f>
        <v>491</v>
      </c>
      <c r="Q37" s="37"/>
    </row>
    <row r="38" spans="1:17" ht="15.9" customHeight="1" x14ac:dyDescent="0.2">
      <c r="B38" s="67"/>
      <c r="C38" s="4" t="s">
        <v>7</v>
      </c>
      <c r="D38" s="48">
        <v>165</v>
      </c>
      <c r="E38" s="52">
        <v>165</v>
      </c>
      <c r="F38" s="48">
        <v>165</v>
      </c>
      <c r="G38" s="52"/>
      <c r="H38" s="48"/>
      <c r="I38" s="52"/>
      <c r="J38" s="48"/>
      <c r="K38" s="52"/>
      <c r="L38" s="48"/>
      <c r="M38" s="52"/>
      <c r="N38" s="48"/>
      <c r="O38" s="52"/>
      <c r="P38" s="48">
        <f>SUM(tblTransportation18[[#This Row],[Ene]:[Dic]])</f>
        <v>495</v>
      </c>
      <c r="Q38" s="38"/>
    </row>
    <row r="39" spans="1:17" ht="15.9" customHeight="1" x14ac:dyDescent="0.2">
      <c r="B39" s="67"/>
      <c r="C39" s="4" t="s">
        <v>8</v>
      </c>
      <c r="D39" s="48"/>
      <c r="E39" s="52"/>
      <c r="F39" s="48"/>
      <c r="G39" s="52"/>
      <c r="H39" s="48"/>
      <c r="I39" s="52"/>
      <c r="J39" s="48"/>
      <c r="K39" s="52"/>
      <c r="L39" s="48"/>
      <c r="M39" s="52"/>
      <c r="N39" s="48"/>
      <c r="O39" s="52"/>
      <c r="P39" s="48">
        <f>SUM(tblTransportation18[[#This Row],[Ene]:[Dic]])</f>
        <v>0</v>
      </c>
      <c r="Q39" s="37"/>
    </row>
    <row r="40" spans="1:17" ht="15.9" customHeight="1" x14ac:dyDescent="0.2">
      <c r="B40" s="67"/>
      <c r="C40" s="4" t="s">
        <v>22</v>
      </c>
      <c r="D40" s="48">
        <v>10</v>
      </c>
      <c r="E40" s="52"/>
      <c r="F40" s="48"/>
      <c r="G40" s="52"/>
      <c r="H40" s="48"/>
      <c r="I40" s="52"/>
      <c r="J40" s="48"/>
      <c r="K40" s="52"/>
      <c r="L40" s="48"/>
      <c r="M40" s="52"/>
      <c r="N40" s="48"/>
      <c r="O40" s="52"/>
      <c r="P40" s="48">
        <f>SUM(tblTransportation18[[#This Row],[Ene]:[Dic]])</f>
        <v>10</v>
      </c>
      <c r="Q40" s="38"/>
    </row>
    <row r="41" spans="1:17" ht="15.9" customHeight="1" x14ac:dyDescent="0.2">
      <c r="A41"/>
      <c r="B41" s="67"/>
      <c r="C41" s="4" t="s">
        <v>23</v>
      </c>
      <c r="D41" s="48">
        <v>10</v>
      </c>
      <c r="E41" s="52">
        <v>40</v>
      </c>
      <c r="F41" s="48">
        <v>20</v>
      </c>
      <c r="G41" s="52"/>
      <c r="H41" s="48"/>
      <c r="I41" s="52"/>
      <c r="J41" s="48"/>
      <c r="K41" s="52"/>
      <c r="L41" s="48"/>
      <c r="M41" s="52"/>
      <c r="N41" s="48"/>
      <c r="O41" s="52"/>
      <c r="P41" s="48">
        <f>SUM(tblTransportation18[[#This Row],[Ene]:[Dic]])</f>
        <v>70</v>
      </c>
      <c r="Q41" s="37"/>
    </row>
    <row r="42" spans="1:17" ht="15.9" customHeight="1" x14ac:dyDescent="0.2">
      <c r="B42" s="67"/>
      <c r="C42" s="4" t="s">
        <v>24</v>
      </c>
      <c r="D42" s="48">
        <v>20</v>
      </c>
      <c r="E42" s="52">
        <v>40</v>
      </c>
      <c r="F42" s="48">
        <v>30</v>
      </c>
      <c r="G42" s="52"/>
      <c r="H42" s="48"/>
      <c r="I42" s="52"/>
      <c r="J42" s="48"/>
      <c r="K42" s="52"/>
      <c r="L42" s="48"/>
      <c r="M42" s="52"/>
      <c r="N42" s="48"/>
      <c r="O42" s="52"/>
      <c r="P42" s="48">
        <f>SUM(tblTransportation18[[#This Row],[Ene]:[Dic]])</f>
        <v>90</v>
      </c>
      <c r="Q42" s="38"/>
    </row>
    <row r="43" spans="1:17" ht="21" customHeight="1" x14ac:dyDescent="0.2">
      <c r="B43" s="67"/>
      <c r="C43" s="20" t="s">
        <v>3</v>
      </c>
      <c r="D43" s="50">
        <f>SUBTOTAL(109,tblTransportation18[Ene])</f>
        <v>400</v>
      </c>
      <c r="E43" s="51">
        <f>SUBTOTAL(109,tblTransportation18[Feb])</f>
        <v>370</v>
      </c>
      <c r="F43" s="50">
        <f>SUBTOTAL(109,tblTransportation18[Marzo])</f>
        <v>386</v>
      </c>
      <c r="G43" s="51">
        <f>SUBTOTAL(109,tblTransportation18[Abril])</f>
        <v>0</v>
      </c>
      <c r="H43" s="50">
        <f>SUBTOTAL(109,tblTransportation18[Mayo])</f>
        <v>0</v>
      </c>
      <c r="I43" s="51">
        <f>SUBTOTAL(109,tblTransportation18[Junio])</f>
        <v>0</v>
      </c>
      <c r="J43" s="50">
        <f>SUBTOTAL(109,tblTransportation18[Julio])</f>
        <v>0</v>
      </c>
      <c r="K43" s="51">
        <f>SUBTOTAL(109,tblTransportation18[Ago])</f>
        <v>0</v>
      </c>
      <c r="L43" s="50">
        <f>SUBTOTAL(109,tblTransportation18[Sept])</f>
        <v>0</v>
      </c>
      <c r="M43" s="51">
        <f>SUBTOTAL(109,tblTransportation18[Oct])</f>
        <v>0</v>
      </c>
      <c r="N43" s="50">
        <f>SUBTOTAL(109,tblTransportation18[Nov])</f>
        <v>0</v>
      </c>
      <c r="O43" s="51">
        <f>SUBTOTAL(109,tblTransportation18[Dic])</f>
        <v>0</v>
      </c>
      <c r="P43" s="50">
        <f>SUBTOTAL(109,tblTransportation18[Año])</f>
        <v>1156</v>
      </c>
      <c r="Q43" s="11"/>
    </row>
    <row r="44" spans="1:17" ht="8.1" customHeight="1" x14ac:dyDescent="0.2">
      <c r="B44" s="67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</row>
    <row r="45" spans="1:17" ht="20.100000000000001" customHeight="1" x14ac:dyDescent="0.2"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7" ht="21" customHeight="1" x14ac:dyDescent="0.2">
      <c r="B46" s="67"/>
      <c r="C46" s="23" t="s">
        <v>25</v>
      </c>
      <c r="D46" s="12"/>
      <c r="E46" s="3"/>
      <c r="F46" s="12"/>
      <c r="G46" s="3"/>
      <c r="H46" s="12"/>
      <c r="I46" s="3"/>
      <c r="J46" s="12"/>
      <c r="K46" s="3"/>
      <c r="L46" s="12"/>
      <c r="M46" s="3"/>
      <c r="N46" s="12"/>
      <c r="O46" s="3"/>
      <c r="P46" s="12"/>
      <c r="Q46" s="3"/>
    </row>
    <row r="47" spans="1:17" ht="21" hidden="1" customHeight="1" x14ac:dyDescent="0.2">
      <c r="B47" s="67"/>
      <c r="C47" t="s">
        <v>26</v>
      </c>
      <c r="D47" t="s">
        <v>79</v>
      </c>
      <c r="E47" t="s">
        <v>81</v>
      </c>
      <c r="F47" t="s">
        <v>83</v>
      </c>
      <c r="G47" t="s">
        <v>85</v>
      </c>
      <c r="H47" t="s">
        <v>87</v>
      </c>
      <c r="I47" t="s">
        <v>89</v>
      </c>
      <c r="J47" t="s">
        <v>91</v>
      </c>
      <c r="K47" t="s">
        <v>93</v>
      </c>
      <c r="L47" t="s">
        <v>95</v>
      </c>
      <c r="M47" t="s">
        <v>97</v>
      </c>
      <c r="N47" t="s">
        <v>99</v>
      </c>
      <c r="O47" t="s">
        <v>101</v>
      </c>
      <c r="P47" t="s">
        <v>103</v>
      </c>
      <c r="Q47" t="s">
        <v>105</v>
      </c>
    </row>
    <row r="48" spans="1:17" ht="15.9" customHeight="1" x14ac:dyDescent="0.2">
      <c r="B48" s="67"/>
      <c r="C48" s="4" t="s">
        <v>27</v>
      </c>
      <c r="D48" s="53">
        <v>85</v>
      </c>
      <c r="E48" s="52">
        <v>85</v>
      </c>
      <c r="F48" s="53">
        <v>85</v>
      </c>
      <c r="G48" s="52"/>
      <c r="H48" s="53"/>
      <c r="I48" s="52"/>
      <c r="J48" s="53"/>
      <c r="K48" s="52"/>
      <c r="L48" s="53"/>
      <c r="M48" s="52"/>
      <c r="N48" s="53"/>
      <c r="O48" s="52"/>
      <c r="P48" s="53">
        <f>SUM(tblEntertainment19[[#This Row],[Ene]:[Dic]])</f>
        <v>255</v>
      </c>
      <c r="Q48" s="37"/>
    </row>
    <row r="49" spans="1:17" ht="15.9" customHeight="1" x14ac:dyDescent="0.2">
      <c r="A49"/>
      <c r="B49" s="67"/>
      <c r="C49" s="4" t="s">
        <v>108</v>
      </c>
      <c r="D49" s="53">
        <v>7</v>
      </c>
      <c r="E49" s="52">
        <v>8</v>
      </c>
      <c r="F49" s="53">
        <v>9</v>
      </c>
      <c r="G49" s="52"/>
      <c r="H49" s="53"/>
      <c r="I49" s="52"/>
      <c r="J49" s="53"/>
      <c r="K49" s="52"/>
      <c r="L49" s="53"/>
      <c r="M49" s="52"/>
      <c r="N49" s="53"/>
      <c r="O49" s="52"/>
      <c r="P49" s="53">
        <f>SUM(tblEntertainment19[[#This Row],[Ene]:[Dic]])</f>
        <v>24</v>
      </c>
      <c r="Q49" s="38"/>
    </row>
    <row r="50" spans="1:17" ht="15.9" customHeight="1" x14ac:dyDescent="0.2">
      <c r="B50" s="67"/>
      <c r="C50" s="4" t="s">
        <v>28</v>
      </c>
      <c r="D50" s="53">
        <v>9</v>
      </c>
      <c r="E50" s="52">
        <v>5</v>
      </c>
      <c r="F50" s="53">
        <v>9</v>
      </c>
      <c r="G50" s="52"/>
      <c r="H50" s="53"/>
      <c r="I50" s="52"/>
      <c r="J50" s="53"/>
      <c r="K50" s="52"/>
      <c r="L50" s="53"/>
      <c r="M50" s="52"/>
      <c r="N50" s="53"/>
      <c r="O50" s="52"/>
      <c r="P50" s="53">
        <f>SUM(tblEntertainment19[[#This Row],[Ene]:[Dic]])</f>
        <v>23</v>
      </c>
      <c r="Q50" s="37"/>
    </row>
    <row r="51" spans="1:17" ht="15.9" customHeight="1" x14ac:dyDescent="0.2">
      <c r="B51" s="67"/>
      <c r="C51" s="4" t="s">
        <v>29</v>
      </c>
      <c r="D51" s="53">
        <v>5</v>
      </c>
      <c r="E51" s="52">
        <v>5</v>
      </c>
      <c r="F51" s="53">
        <v>7</v>
      </c>
      <c r="G51" s="52"/>
      <c r="H51" s="53"/>
      <c r="I51" s="52"/>
      <c r="J51" s="53"/>
      <c r="K51" s="52"/>
      <c r="L51" s="53"/>
      <c r="M51" s="52"/>
      <c r="N51" s="53"/>
      <c r="O51" s="52"/>
      <c r="P51" s="53">
        <f>SUM(tblEntertainment19[[#This Row],[Ene]:[Dic]])</f>
        <v>17</v>
      </c>
      <c r="Q51" s="38"/>
    </row>
    <row r="52" spans="1:17" ht="21" customHeight="1" x14ac:dyDescent="0.2">
      <c r="B52" s="67"/>
      <c r="C52" s="20" t="s">
        <v>3</v>
      </c>
      <c r="D52" s="54">
        <f>SUBTOTAL(109,tblEntertainment19[Ene])</f>
        <v>106</v>
      </c>
      <c r="E52" s="51">
        <f>SUBTOTAL(109,tblEntertainment19[Feb])</f>
        <v>103</v>
      </c>
      <c r="F52" s="54">
        <f>SUBTOTAL(109,tblEntertainment19[Marzo])</f>
        <v>110</v>
      </c>
      <c r="G52" s="51">
        <f>SUBTOTAL(109,tblEntertainment19[Abril])</f>
        <v>0</v>
      </c>
      <c r="H52" s="54">
        <f>SUBTOTAL(109,tblEntertainment19[Mayo])</f>
        <v>0</v>
      </c>
      <c r="I52" s="51">
        <f>SUBTOTAL(109,tblEntertainment19[Junio])</f>
        <v>0</v>
      </c>
      <c r="J52" s="54">
        <f>SUBTOTAL(109,tblEntertainment19[Julio])</f>
        <v>0</v>
      </c>
      <c r="K52" s="51">
        <f>SUBTOTAL(109,tblEntertainment19[Ago])</f>
        <v>0</v>
      </c>
      <c r="L52" s="54">
        <f>SUBTOTAL(109,tblEntertainment19[Sept])</f>
        <v>0</v>
      </c>
      <c r="M52" s="51">
        <f>SUBTOTAL(109,tblEntertainment19[Oct])</f>
        <v>0</v>
      </c>
      <c r="N52" s="54">
        <f>SUBTOTAL(109,tblEntertainment19[Nov])</f>
        <v>0</v>
      </c>
      <c r="O52" s="51">
        <f>SUBTOTAL(109,tblEntertainment19[Dic])</f>
        <v>0</v>
      </c>
      <c r="P52" s="54">
        <f>SUBTOTAL(109,tblEntertainment19[Año])</f>
        <v>319</v>
      </c>
      <c r="Q52" s="11"/>
    </row>
    <row r="53" spans="1:17" ht="8.1" customHeight="1" x14ac:dyDescent="0.2">
      <c r="B53" s="67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1:17" ht="20.100000000000001" customHeight="1" x14ac:dyDescent="0.2"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7" ht="21" customHeight="1" x14ac:dyDescent="0.2">
      <c r="B55" s="67"/>
      <c r="C55" s="23" t="s">
        <v>30</v>
      </c>
      <c r="D55" s="12"/>
      <c r="E55" s="3"/>
      <c r="F55" s="12"/>
      <c r="G55" s="3"/>
      <c r="H55" s="12"/>
      <c r="I55" s="3"/>
      <c r="J55" s="12"/>
      <c r="K55" s="3"/>
      <c r="L55" s="12"/>
      <c r="M55" s="3"/>
      <c r="N55" s="12"/>
      <c r="O55" s="3"/>
      <c r="P55" s="12"/>
      <c r="Q55" s="3"/>
    </row>
    <row r="56" spans="1:17" ht="15.9" hidden="1" customHeight="1" x14ac:dyDescent="0.2">
      <c r="B56" s="67"/>
      <c r="C56" t="s">
        <v>31</v>
      </c>
      <c r="D56" t="s">
        <v>79</v>
      </c>
      <c r="E56" t="s">
        <v>81</v>
      </c>
      <c r="F56" t="s">
        <v>83</v>
      </c>
      <c r="G56" t="s">
        <v>85</v>
      </c>
      <c r="H56" t="s">
        <v>87</v>
      </c>
      <c r="I56" t="s">
        <v>89</v>
      </c>
      <c r="J56" t="s">
        <v>91</v>
      </c>
      <c r="K56" t="s">
        <v>93</v>
      </c>
      <c r="L56" t="s">
        <v>95</v>
      </c>
      <c r="M56" t="s">
        <v>97</v>
      </c>
      <c r="N56" t="s">
        <v>99</v>
      </c>
      <c r="O56" t="s">
        <v>101</v>
      </c>
      <c r="P56" t="s">
        <v>103</v>
      </c>
      <c r="Q56" t="s">
        <v>105</v>
      </c>
    </row>
    <row r="57" spans="1:17" ht="15.9" customHeight="1" x14ac:dyDescent="0.2">
      <c r="B57" s="67"/>
      <c r="C57" s="4" t="s">
        <v>32</v>
      </c>
      <c r="D57" s="53">
        <v>50</v>
      </c>
      <c r="E57" s="52">
        <v>50</v>
      </c>
      <c r="F57" s="53">
        <v>50</v>
      </c>
      <c r="G57" s="52"/>
      <c r="H57" s="53"/>
      <c r="I57" s="52"/>
      <c r="J57" s="53"/>
      <c r="K57" s="52"/>
      <c r="L57" s="53"/>
      <c r="M57" s="52"/>
      <c r="N57" s="53"/>
      <c r="O57" s="52"/>
      <c r="P57" s="53">
        <f>SUM(tblHealth20[[#This Row],[Ene]:[Dic]])</f>
        <v>150</v>
      </c>
      <c r="Q57" s="38"/>
    </row>
    <row r="58" spans="1:17" ht="15.9" customHeight="1" x14ac:dyDescent="0.2">
      <c r="B58" s="67"/>
      <c r="C58" s="4" t="s">
        <v>7</v>
      </c>
      <c r="D58" s="53">
        <v>225</v>
      </c>
      <c r="E58" s="52">
        <v>225</v>
      </c>
      <c r="F58" s="53">
        <v>225</v>
      </c>
      <c r="G58" s="52"/>
      <c r="H58" s="53"/>
      <c r="I58" s="52"/>
      <c r="J58" s="53"/>
      <c r="K58" s="52"/>
      <c r="L58" s="53"/>
      <c r="M58" s="52"/>
      <c r="N58" s="53"/>
      <c r="O58" s="52"/>
      <c r="P58" s="53">
        <f>SUM(tblHealth20[[#This Row],[Ene]:[Dic]])</f>
        <v>675</v>
      </c>
      <c r="Q58" s="37"/>
    </row>
    <row r="59" spans="1:17" ht="15.9" customHeight="1" x14ac:dyDescent="0.2">
      <c r="B59" s="67"/>
      <c r="C59" s="4" t="s">
        <v>33</v>
      </c>
      <c r="D59" s="53">
        <v>100</v>
      </c>
      <c r="E59" s="52">
        <v>100</v>
      </c>
      <c r="F59" s="53">
        <v>100</v>
      </c>
      <c r="G59" s="52"/>
      <c r="H59" s="53"/>
      <c r="I59" s="52"/>
      <c r="J59" s="53"/>
      <c r="K59" s="52"/>
      <c r="L59" s="53"/>
      <c r="M59" s="52"/>
      <c r="N59" s="53"/>
      <c r="O59" s="52"/>
      <c r="P59" s="53">
        <f>SUM(tblHealth20[[#This Row],[Ene]:[Dic]])</f>
        <v>300</v>
      </c>
      <c r="Q59" s="38"/>
    </row>
    <row r="60" spans="1:17" ht="15.9" customHeight="1" x14ac:dyDescent="0.2">
      <c r="A60"/>
      <c r="B60" s="67"/>
      <c r="C60" s="4" t="s">
        <v>34</v>
      </c>
      <c r="D60" s="53">
        <v>6</v>
      </c>
      <c r="E60" s="52">
        <v>2</v>
      </c>
      <c r="F60" s="53">
        <v>9</v>
      </c>
      <c r="G60" s="52"/>
      <c r="H60" s="53"/>
      <c r="I60" s="52"/>
      <c r="J60" s="53"/>
      <c r="K60" s="52"/>
      <c r="L60" s="53"/>
      <c r="M60" s="52"/>
      <c r="N60" s="53"/>
      <c r="O60" s="52"/>
      <c r="P60" s="53">
        <f>SUM(tblHealth20[[#This Row],[Ene]:[Dic]])</f>
        <v>17</v>
      </c>
      <c r="Q60" s="37"/>
    </row>
    <row r="61" spans="1:17" ht="15.9" customHeight="1" x14ac:dyDescent="0.2">
      <c r="B61" s="67"/>
      <c r="C61" s="4" t="s">
        <v>35</v>
      </c>
      <c r="D61" s="53">
        <v>20</v>
      </c>
      <c r="E61" s="52"/>
      <c r="F61" s="53">
        <v>41</v>
      </c>
      <c r="G61" s="52"/>
      <c r="H61" s="53"/>
      <c r="I61" s="52"/>
      <c r="J61" s="53"/>
      <c r="K61" s="52"/>
      <c r="L61" s="53"/>
      <c r="M61" s="52"/>
      <c r="N61" s="53"/>
      <c r="O61" s="52"/>
      <c r="P61" s="53">
        <f>SUM(tblHealth20[[#This Row],[Ene]:[Dic]])</f>
        <v>61</v>
      </c>
      <c r="Q61" s="38"/>
    </row>
    <row r="62" spans="1:17" ht="15.9" customHeight="1" x14ac:dyDescent="0.2">
      <c r="B62" s="67"/>
      <c r="C62" s="4" t="s">
        <v>36</v>
      </c>
      <c r="D62" s="53">
        <v>4</v>
      </c>
      <c r="E62" s="52"/>
      <c r="F62" s="53">
        <v>25</v>
      </c>
      <c r="G62" s="52"/>
      <c r="H62" s="53"/>
      <c r="I62" s="52"/>
      <c r="J62" s="53"/>
      <c r="K62" s="52"/>
      <c r="L62" s="53"/>
      <c r="M62" s="52"/>
      <c r="N62" s="53"/>
      <c r="O62" s="52"/>
      <c r="P62" s="53">
        <f>SUM(tblHealth20[[#This Row],[Ene]:[Dic]])</f>
        <v>29</v>
      </c>
      <c r="Q62" s="37"/>
    </row>
    <row r="63" spans="1:17" ht="15.9" customHeight="1" x14ac:dyDescent="0.2">
      <c r="B63" s="67"/>
      <c r="C63" s="4" t="s">
        <v>37</v>
      </c>
      <c r="D63" s="53">
        <v>55</v>
      </c>
      <c r="E63" s="52">
        <v>55</v>
      </c>
      <c r="F63" s="53">
        <v>55</v>
      </c>
      <c r="G63" s="52"/>
      <c r="H63" s="53"/>
      <c r="I63" s="52"/>
      <c r="J63" s="53"/>
      <c r="K63" s="52"/>
      <c r="L63" s="53"/>
      <c r="M63" s="52"/>
      <c r="N63" s="53"/>
      <c r="O63" s="52"/>
      <c r="P63" s="53">
        <f>SUM(tblHealth20[[#This Row],[Ene]:[Dic]])</f>
        <v>165</v>
      </c>
      <c r="Q63" s="38"/>
    </row>
    <row r="64" spans="1:17" ht="21" customHeight="1" x14ac:dyDescent="0.2">
      <c r="B64" s="67"/>
      <c r="C64" s="20" t="s">
        <v>3</v>
      </c>
      <c r="D64" s="54">
        <f>SUBTOTAL(109,tblHealth20[Ene])</f>
        <v>460</v>
      </c>
      <c r="E64" s="51">
        <f>SUBTOTAL(109,tblHealth20[Feb])</f>
        <v>432</v>
      </c>
      <c r="F64" s="54">
        <f>SUBTOTAL(109,tblHealth20[Marzo])</f>
        <v>505</v>
      </c>
      <c r="G64" s="51">
        <f>SUBTOTAL(109,tblHealth20[Abril])</f>
        <v>0</v>
      </c>
      <c r="H64" s="54">
        <f>SUBTOTAL(109,tblHealth20[Mayo])</f>
        <v>0</v>
      </c>
      <c r="I64" s="51">
        <f>SUBTOTAL(109,tblHealth20[Junio])</f>
        <v>0</v>
      </c>
      <c r="J64" s="54">
        <f>SUBTOTAL(109,tblHealth20[Julio])</f>
        <v>0</v>
      </c>
      <c r="K64" s="51">
        <f>SUBTOTAL(109,tblHealth20[Ago])</f>
        <v>0</v>
      </c>
      <c r="L64" s="54">
        <f>SUBTOTAL(109,tblHealth20[Sept])</f>
        <v>0</v>
      </c>
      <c r="M64" s="51">
        <f>SUBTOTAL(109,tblHealth20[Oct])</f>
        <v>0</v>
      </c>
      <c r="N64" s="54">
        <f>SUBTOTAL(109,tblHealth20[Nov])</f>
        <v>0</v>
      </c>
      <c r="O64" s="51">
        <f>SUBTOTAL(109,tblHealth20[Dic])</f>
        <v>0</v>
      </c>
      <c r="P64" s="54">
        <f>SUBTOTAL(109,tblHealth20[Año])</f>
        <v>1397</v>
      </c>
      <c r="Q64" s="11"/>
    </row>
    <row r="65" spans="2:17" ht="8.1" customHeight="1" x14ac:dyDescent="0.2">
      <c r="B65" s="67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</row>
    <row r="66" spans="2:17" ht="20.100000000000001" customHeight="1" x14ac:dyDescent="0.2"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2:17" ht="21" customHeight="1" x14ac:dyDescent="0.2">
      <c r="B67" s="67"/>
      <c r="C67" s="18" t="s">
        <v>38</v>
      </c>
      <c r="D67" s="13"/>
      <c r="E67" s="3"/>
      <c r="F67" s="13"/>
      <c r="G67" s="3"/>
      <c r="H67" s="13"/>
      <c r="I67" s="3"/>
      <c r="J67" s="13"/>
      <c r="K67" s="3"/>
      <c r="L67" s="13"/>
      <c r="M67" s="3"/>
      <c r="N67" s="13"/>
      <c r="O67" s="3"/>
      <c r="P67" s="13"/>
      <c r="Q67" s="3"/>
    </row>
    <row r="68" spans="2:17" ht="21" hidden="1" customHeight="1" x14ac:dyDescent="0.2">
      <c r="B68" s="67"/>
      <c r="C68" t="s">
        <v>39</v>
      </c>
      <c r="D68" t="s">
        <v>79</v>
      </c>
      <c r="E68" t="s">
        <v>81</v>
      </c>
      <c r="F68" t="s">
        <v>83</v>
      </c>
      <c r="G68" t="s">
        <v>85</v>
      </c>
      <c r="H68" t="s">
        <v>87</v>
      </c>
      <c r="I68" t="s">
        <v>89</v>
      </c>
      <c r="J68" t="s">
        <v>91</v>
      </c>
      <c r="K68" t="s">
        <v>93</v>
      </c>
      <c r="L68" t="s">
        <v>95</v>
      </c>
      <c r="M68" t="s">
        <v>97</v>
      </c>
      <c r="N68" t="s">
        <v>99</v>
      </c>
      <c r="O68" t="s">
        <v>101</v>
      </c>
      <c r="P68" t="s">
        <v>103</v>
      </c>
      <c r="Q68" t="s">
        <v>105</v>
      </c>
    </row>
    <row r="69" spans="2:17" ht="15.9" customHeight="1" x14ac:dyDescent="0.2">
      <c r="B69" s="67"/>
      <c r="C69" s="4" t="s">
        <v>106</v>
      </c>
      <c r="D69" s="48"/>
      <c r="E69" s="52">
        <v>485</v>
      </c>
      <c r="F69" s="48"/>
      <c r="G69" s="52"/>
      <c r="H69" s="48"/>
      <c r="I69" s="52"/>
      <c r="J69" s="48"/>
      <c r="K69" s="52"/>
      <c r="L69" s="48"/>
      <c r="M69" s="52"/>
      <c r="N69" s="48"/>
      <c r="O69" s="52"/>
      <c r="P69" s="48">
        <f>SUM(tblVacations21[[#This Row],[Ene]:[Dic]])</f>
        <v>485</v>
      </c>
      <c r="Q69" s="37"/>
    </row>
    <row r="70" spans="2:17" ht="15.9" customHeight="1" x14ac:dyDescent="0.2">
      <c r="B70" s="67"/>
      <c r="C70" s="4" t="s">
        <v>40</v>
      </c>
      <c r="D70" s="48"/>
      <c r="E70" s="52">
        <v>245</v>
      </c>
      <c r="F70" s="48"/>
      <c r="G70" s="52"/>
      <c r="H70" s="48"/>
      <c r="I70" s="52"/>
      <c r="J70" s="48"/>
      <c r="K70" s="52"/>
      <c r="L70" s="48"/>
      <c r="M70" s="52"/>
      <c r="N70" s="48"/>
      <c r="O70" s="52"/>
      <c r="P70" s="48">
        <f>SUM(tblVacations21[[#This Row],[Ene]:[Dic]])</f>
        <v>245</v>
      </c>
      <c r="Q70" s="38"/>
    </row>
    <row r="71" spans="2:17" ht="15.9" customHeight="1" x14ac:dyDescent="0.2">
      <c r="B71" s="67"/>
      <c r="C71" s="4" t="s">
        <v>41</v>
      </c>
      <c r="D71" s="48"/>
      <c r="E71" s="52">
        <v>95</v>
      </c>
      <c r="F71" s="48"/>
      <c r="G71" s="52"/>
      <c r="H71" s="48"/>
      <c r="I71" s="52"/>
      <c r="J71" s="48"/>
      <c r="K71" s="52"/>
      <c r="L71" s="48"/>
      <c r="M71" s="52"/>
      <c r="N71" s="48"/>
      <c r="O71" s="52"/>
      <c r="P71" s="48">
        <f>SUM(tblVacations21[[#This Row],[Ene]:[Dic]])</f>
        <v>95</v>
      </c>
      <c r="Q71" s="37"/>
    </row>
    <row r="72" spans="2:17" ht="15.9" customHeight="1" x14ac:dyDescent="0.2">
      <c r="B72" s="67"/>
      <c r="C72" s="4" t="s">
        <v>42</v>
      </c>
      <c r="D72" s="48"/>
      <c r="E72" s="52"/>
      <c r="F72" s="48"/>
      <c r="G72" s="52"/>
      <c r="H72" s="48"/>
      <c r="I72" s="52"/>
      <c r="J72" s="48"/>
      <c r="K72" s="52"/>
      <c r="L72" s="48"/>
      <c r="M72" s="52"/>
      <c r="N72" s="48"/>
      <c r="O72" s="52"/>
      <c r="P72" s="48">
        <f>SUM(tblVacations21[[#This Row],[Ene]:[Dic]])</f>
        <v>0</v>
      </c>
      <c r="Q72" s="38"/>
    </row>
    <row r="73" spans="2:17" ht="15.9" customHeight="1" x14ac:dyDescent="0.2">
      <c r="B73" s="67"/>
      <c r="C73" s="4" t="s">
        <v>43</v>
      </c>
      <c r="D73" s="48"/>
      <c r="E73" s="52"/>
      <c r="F73" s="48"/>
      <c r="G73" s="52"/>
      <c r="H73" s="48"/>
      <c r="I73" s="52"/>
      <c r="J73" s="48"/>
      <c r="K73" s="52"/>
      <c r="L73" s="48"/>
      <c r="M73" s="52"/>
      <c r="N73" s="48"/>
      <c r="O73" s="52"/>
      <c r="P73" s="48">
        <f>SUM(tblVacations21[[#This Row],[Ene]:[Dic]])</f>
        <v>0</v>
      </c>
      <c r="Q73" s="37"/>
    </row>
    <row r="74" spans="2:17" ht="15.9" customHeight="1" x14ac:dyDescent="0.2">
      <c r="B74" s="67"/>
      <c r="C74" s="4" t="s">
        <v>107</v>
      </c>
      <c r="D74" s="48"/>
      <c r="E74" s="52">
        <v>85</v>
      </c>
      <c r="F74" s="48"/>
      <c r="G74" s="52"/>
      <c r="H74" s="48"/>
      <c r="I74" s="52"/>
      <c r="J74" s="48"/>
      <c r="K74" s="52"/>
      <c r="L74" s="48"/>
      <c r="M74" s="52"/>
      <c r="N74" s="48"/>
      <c r="O74" s="52"/>
      <c r="P74" s="48">
        <f>SUM(tblVacations21[[#This Row],[Ene]:[Dic]])</f>
        <v>85</v>
      </c>
      <c r="Q74" s="38"/>
    </row>
    <row r="75" spans="2:17" ht="21" customHeight="1" x14ac:dyDescent="0.2">
      <c r="B75" s="67"/>
      <c r="C75" s="20" t="s">
        <v>3</v>
      </c>
      <c r="D75" s="50">
        <f>SUBTOTAL(109,tblVacations21[Ene])</f>
        <v>0</v>
      </c>
      <c r="E75" s="51">
        <f>SUBTOTAL(109,tblVacations21[Feb])</f>
        <v>910</v>
      </c>
      <c r="F75" s="50">
        <f>SUBTOTAL(109,tblVacations21[Marzo])</f>
        <v>0</v>
      </c>
      <c r="G75" s="51">
        <f>SUBTOTAL(109,tblVacations21[Abril])</f>
        <v>0</v>
      </c>
      <c r="H75" s="50">
        <f>SUBTOTAL(109,tblVacations21[Mayo])</f>
        <v>0</v>
      </c>
      <c r="I75" s="51">
        <f>SUBTOTAL(109,tblVacations21[Junio])</f>
        <v>0</v>
      </c>
      <c r="J75" s="50">
        <f>SUBTOTAL(109,tblVacations21[Julio])</f>
        <v>0</v>
      </c>
      <c r="K75" s="51">
        <f>SUBTOTAL(109,tblVacations21[Ago])</f>
        <v>0</v>
      </c>
      <c r="L75" s="50">
        <f>SUBTOTAL(109,tblVacations21[Sept])</f>
        <v>0</v>
      </c>
      <c r="M75" s="51">
        <f>SUBTOTAL(109,tblVacations21[Oct])</f>
        <v>0</v>
      </c>
      <c r="N75" s="50">
        <f>SUBTOTAL(109,tblVacations21[Nov])</f>
        <v>0</v>
      </c>
      <c r="O75" s="51">
        <f>SUBTOTAL(109,tblVacations21[Dic])</f>
        <v>0</v>
      </c>
      <c r="P75" s="50">
        <f>SUBTOTAL(109,tblVacations21[Año])</f>
        <v>910</v>
      </c>
      <c r="Q75" s="11"/>
    </row>
    <row r="76" spans="2:17" ht="8.1" customHeight="1" x14ac:dyDescent="0.2">
      <c r="B76" s="67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</row>
    <row r="77" spans="2:17" ht="20.100000000000001" customHeight="1" x14ac:dyDescent="0.2"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2:17" ht="21" customHeight="1" x14ac:dyDescent="0.2">
      <c r="B78" s="67"/>
      <c r="C78" s="22" t="s">
        <v>44</v>
      </c>
      <c r="D78" s="13"/>
      <c r="E78" s="3"/>
      <c r="F78" s="13"/>
      <c r="G78" s="3"/>
      <c r="H78" s="13"/>
      <c r="I78" s="3"/>
      <c r="J78" s="13"/>
      <c r="K78" s="3"/>
      <c r="L78" s="13"/>
      <c r="M78" s="3"/>
      <c r="N78" s="13"/>
      <c r="O78" s="3"/>
      <c r="P78" s="13"/>
      <c r="Q78" s="3"/>
    </row>
    <row r="79" spans="2:17" ht="21" hidden="1" customHeight="1" x14ac:dyDescent="0.2">
      <c r="B79" s="67"/>
      <c r="C79" t="s">
        <v>45</v>
      </c>
      <c r="D79" t="s">
        <v>79</v>
      </c>
      <c r="E79" t="s">
        <v>81</v>
      </c>
      <c r="F79" t="s">
        <v>83</v>
      </c>
      <c r="G79" t="s">
        <v>85</v>
      </c>
      <c r="H79" t="s">
        <v>87</v>
      </c>
      <c r="I79" t="s">
        <v>89</v>
      </c>
      <c r="J79" t="s">
        <v>91</v>
      </c>
      <c r="K79" t="s">
        <v>93</v>
      </c>
      <c r="L79" t="s">
        <v>95</v>
      </c>
      <c r="M79" t="s">
        <v>97</v>
      </c>
      <c r="N79" t="s">
        <v>99</v>
      </c>
      <c r="O79" t="s">
        <v>101</v>
      </c>
      <c r="P79" t="s">
        <v>103</v>
      </c>
      <c r="Q79" t="s">
        <v>105</v>
      </c>
    </row>
    <row r="80" spans="2:17" ht="15.9" customHeight="1" x14ac:dyDescent="0.2">
      <c r="B80" s="67"/>
      <c r="C80" s="4" t="s">
        <v>46</v>
      </c>
      <c r="D80" s="48"/>
      <c r="E80" s="52"/>
      <c r="F80" s="48"/>
      <c r="G80" s="52"/>
      <c r="H80" s="48"/>
      <c r="I80" s="52"/>
      <c r="J80" s="48"/>
      <c r="K80" s="52"/>
      <c r="L80" s="48"/>
      <c r="M80" s="52"/>
      <c r="N80" s="48"/>
      <c r="O80" s="52"/>
      <c r="P80" s="48">
        <f>SUM(tblRecreation22[[#This Row],[Ene]:[Dic]])</f>
        <v>0</v>
      </c>
      <c r="Q80" s="37"/>
    </row>
    <row r="81" spans="2:17" ht="15.9" customHeight="1" x14ac:dyDescent="0.2">
      <c r="B81" s="67"/>
      <c r="C81" s="4" t="s">
        <v>47</v>
      </c>
      <c r="D81" s="48"/>
      <c r="E81" s="52"/>
      <c r="F81" s="48"/>
      <c r="G81" s="52"/>
      <c r="H81" s="48"/>
      <c r="I81" s="52"/>
      <c r="J81" s="48"/>
      <c r="K81" s="52"/>
      <c r="L81" s="48"/>
      <c r="M81" s="52"/>
      <c r="N81" s="48"/>
      <c r="O81" s="52"/>
      <c r="P81" s="48">
        <f>SUM(tblRecreation22[[#This Row],[Ene]:[Dic]])</f>
        <v>0</v>
      </c>
      <c r="Q81" s="38"/>
    </row>
    <row r="82" spans="2:17" ht="15.9" customHeight="1" x14ac:dyDescent="0.2">
      <c r="B82" s="67"/>
      <c r="C82" s="4" t="s">
        <v>48</v>
      </c>
      <c r="D82" s="48"/>
      <c r="E82" s="52"/>
      <c r="F82" s="48"/>
      <c r="G82" s="52"/>
      <c r="H82" s="48"/>
      <c r="I82" s="52"/>
      <c r="J82" s="48"/>
      <c r="K82" s="52"/>
      <c r="L82" s="48"/>
      <c r="M82" s="52"/>
      <c r="N82" s="48"/>
      <c r="O82" s="52"/>
      <c r="P82" s="48">
        <f>SUM(tblRecreation22[[#This Row],[Ene]:[Dic]])</f>
        <v>0</v>
      </c>
      <c r="Q82" s="37"/>
    </row>
    <row r="83" spans="2:17" ht="15.9" customHeight="1" x14ac:dyDescent="0.2">
      <c r="B83" s="67"/>
      <c r="C83" s="4" t="s">
        <v>49</v>
      </c>
      <c r="D83" s="48">
        <v>39</v>
      </c>
      <c r="E83" s="52">
        <v>33</v>
      </c>
      <c r="F83" s="48">
        <v>40</v>
      </c>
      <c r="G83" s="52"/>
      <c r="H83" s="48"/>
      <c r="I83" s="52"/>
      <c r="J83" s="48"/>
      <c r="K83" s="52"/>
      <c r="L83" s="48"/>
      <c r="M83" s="52"/>
      <c r="N83" s="48"/>
      <c r="O83" s="52"/>
      <c r="P83" s="48">
        <f>SUM(tblRecreation22[[#This Row],[Ene]:[Dic]])</f>
        <v>112</v>
      </c>
      <c r="Q83" s="38"/>
    </row>
    <row r="84" spans="2:17" ht="21" customHeight="1" x14ac:dyDescent="0.2">
      <c r="B84" s="67"/>
      <c r="C84" s="20" t="s">
        <v>3</v>
      </c>
      <c r="D84" s="50">
        <f>SUBTOTAL(109,tblRecreation22[Ene])</f>
        <v>39</v>
      </c>
      <c r="E84" s="51">
        <f>SUBTOTAL(109,tblRecreation22[Feb])</f>
        <v>33</v>
      </c>
      <c r="F84" s="50">
        <f>SUBTOTAL(109,tblRecreation22[Marzo])</f>
        <v>40</v>
      </c>
      <c r="G84" s="51">
        <f>SUBTOTAL(109,tblRecreation22[Abril])</f>
        <v>0</v>
      </c>
      <c r="H84" s="50">
        <f>SUBTOTAL(109,tblRecreation22[Mayo])</f>
        <v>0</v>
      </c>
      <c r="I84" s="51">
        <f>SUBTOTAL(109,tblRecreation22[Junio])</f>
        <v>0</v>
      </c>
      <c r="J84" s="50">
        <f>SUBTOTAL(109,tblRecreation22[Julio])</f>
        <v>0</v>
      </c>
      <c r="K84" s="51">
        <f>SUBTOTAL(109,tblRecreation22[Ago])</f>
        <v>0</v>
      </c>
      <c r="L84" s="50">
        <f>SUBTOTAL(109,tblRecreation22[Sept])</f>
        <v>0</v>
      </c>
      <c r="M84" s="51">
        <f>SUBTOTAL(109,tblRecreation22[Oct])</f>
        <v>0</v>
      </c>
      <c r="N84" s="50">
        <f>SUBTOTAL(109,tblRecreation22[Nov])</f>
        <v>0</v>
      </c>
      <c r="O84" s="51">
        <f>SUBTOTAL(109,tblRecreation22[Dic])</f>
        <v>0</v>
      </c>
      <c r="P84" s="50">
        <f>SUBTOTAL(109,tblRecreation22[Año])</f>
        <v>112</v>
      </c>
      <c r="Q84" s="11"/>
    </row>
    <row r="85" spans="2:17" ht="8.1" customHeight="1" x14ac:dyDescent="0.2">
      <c r="B85" s="67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</row>
    <row r="86" spans="2:17" ht="20.100000000000001" customHeight="1" x14ac:dyDescent="0.2"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2:17" ht="21" customHeight="1" x14ac:dyDescent="0.2">
      <c r="B87" s="67"/>
      <c r="C87" s="24" t="s">
        <v>50</v>
      </c>
      <c r="D87" s="12"/>
      <c r="E87" s="3"/>
      <c r="F87" s="12"/>
      <c r="G87" s="3"/>
      <c r="H87" s="12"/>
      <c r="I87" s="3"/>
      <c r="J87" s="12"/>
      <c r="K87" s="3"/>
      <c r="L87" s="12"/>
      <c r="M87" s="3"/>
      <c r="N87" s="12"/>
      <c r="O87" s="3"/>
      <c r="P87" s="12"/>
      <c r="Q87" s="3"/>
    </row>
    <row r="88" spans="2:17" ht="8.1" hidden="1" customHeight="1" x14ac:dyDescent="0.2">
      <c r="B88" s="67"/>
      <c r="C88" t="s">
        <v>51</v>
      </c>
      <c r="D88" t="s">
        <v>79</v>
      </c>
      <c r="E88" t="s">
        <v>81</v>
      </c>
      <c r="F88" t="s">
        <v>83</v>
      </c>
      <c r="G88" t="s">
        <v>85</v>
      </c>
      <c r="H88" t="s">
        <v>87</v>
      </c>
      <c r="I88" t="s">
        <v>89</v>
      </c>
      <c r="J88" t="s">
        <v>91</v>
      </c>
      <c r="K88" t="s">
        <v>93</v>
      </c>
      <c r="L88" t="s">
        <v>95</v>
      </c>
      <c r="M88" t="s">
        <v>97</v>
      </c>
      <c r="N88" t="s">
        <v>99</v>
      </c>
      <c r="O88" t="s">
        <v>101</v>
      </c>
      <c r="P88" t="s">
        <v>103</v>
      </c>
      <c r="Q88" t="s">
        <v>105</v>
      </c>
    </row>
    <row r="89" spans="2:17" ht="15.9" customHeight="1" x14ac:dyDescent="0.2">
      <c r="B89" s="67"/>
      <c r="C89" s="4" t="s">
        <v>52</v>
      </c>
      <c r="D89" s="53"/>
      <c r="E89" s="52"/>
      <c r="F89" s="53"/>
      <c r="G89" s="52"/>
      <c r="H89" s="53"/>
      <c r="I89" s="52"/>
      <c r="J89" s="53"/>
      <c r="K89" s="52"/>
      <c r="L89" s="53"/>
      <c r="M89" s="52"/>
      <c r="N89" s="53"/>
      <c r="O89" s="52"/>
      <c r="P89" s="53">
        <f>SUM(tblDues23[[#This Row],[Ene]:[Dic]])</f>
        <v>0</v>
      </c>
      <c r="Q89" s="38"/>
    </row>
    <row r="90" spans="2:17" ht="15.9" customHeight="1" x14ac:dyDescent="0.2">
      <c r="B90" s="67"/>
      <c r="C90" s="4" t="s">
        <v>53</v>
      </c>
      <c r="D90" s="53"/>
      <c r="E90" s="52"/>
      <c r="F90" s="53"/>
      <c r="G90" s="52"/>
      <c r="H90" s="53"/>
      <c r="I90" s="52"/>
      <c r="J90" s="53"/>
      <c r="K90" s="52"/>
      <c r="L90" s="53"/>
      <c r="M90" s="52"/>
      <c r="N90" s="53"/>
      <c r="O90" s="52"/>
      <c r="P90" s="53">
        <f>SUM(tblDues23[[#This Row],[Ene]:[Dic]])</f>
        <v>0</v>
      </c>
      <c r="Q90" s="37"/>
    </row>
    <row r="91" spans="2:17" ht="15.9" customHeight="1" x14ac:dyDescent="0.2">
      <c r="B91" s="67"/>
      <c r="C91" s="4" t="s">
        <v>54</v>
      </c>
      <c r="D91" s="53"/>
      <c r="E91" s="52"/>
      <c r="F91" s="53"/>
      <c r="G91" s="52"/>
      <c r="H91" s="53"/>
      <c r="I91" s="52"/>
      <c r="J91" s="53"/>
      <c r="K91" s="52"/>
      <c r="L91" s="53"/>
      <c r="M91" s="52"/>
      <c r="N91" s="53"/>
      <c r="O91" s="52"/>
      <c r="P91" s="53">
        <f>SUM(tblDues23[[#This Row],[Ene]:[Dic]])</f>
        <v>0</v>
      </c>
      <c r="Q91" s="38"/>
    </row>
    <row r="92" spans="2:17" ht="15.9" customHeight="1" x14ac:dyDescent="0.2">
      <c r="B92" s="67"/>
      <c r="C92" s="4" t="s">
        <v>55</v>
      </c>
      <c r="D92" s="53"/>
      <c r="E92" s="52"/>
      <c r="F92" s="53"/>
      <c r="G92" s="52"/>
      <c r="H92" s="53"/>
      <c r="I92" s="52"/>
      <c r="J92" s="53"/>
      <c r="K92" s="52"/>
      <c r="L92" s="53"/>
      <c r="M92" s="52"/>
      <c r="N92" s="53"/>
      <c r="O92" s="52"/>
      <c r="P92" s="53">
        <f>SUM(tblDues23[[#This Row],[Ene]:[Dic]])</f>
        <v>0</v>
      </c>
      <c r="Q92" s="37"/>
    </row>
    <row r="93" spans="2:17" ht="15.9" customHeight="1" x14ac:dyDescent="0.2">
      <c r="B93" s="67"/>
      <c r="C93" s="4" t="s">
        <v>56</v>
      </c>
      <c r="D93" s="53"/>
      <c r="E93" s="52"/>
      <c r="F93" s="53"/>
      <c r="G93" s="52"/>
      <c r="H93" s="53"/>
      <c r="I93" s="52"/>
      <c r="J93" s="53"/>
      <c r="K93" s="52"/>
      <c r="L93" s="53"/>
      <c r="M93" s="52"/>
      <c r="N93" s="53"/>
      <c r="O93" s="52"/>
      <c r="P93" s="53">
        <f>SUM(tblDues23[[#This Row],[Ene]:[Dic]])</f>
        <v>0</v>
      </c>
      <c r="Q93" s="38"/>
    </row>
    <row r="94" spans="2:17" ht="15.9" customHeight="1" x14ac:dyDescent="0.2">
      <c r="B94" s="67"/>
      <c r="C94" s="4" t="s">
        <v>57</v>
      </c>
      <c r="D94" s="53">
        <v>29</v>
      </c>
      <c r="E94" s="52">
        <v>18</v>
      </c>
      <c r="F94" s="53">
        <v>17</v>
      </c>
      <c r="G94" s="52"/>
      <c r="H94" s="53"/>
      <c r="I94" s="52"/>
      <c r="J94" s="53"/>
      <c r="K94" s="52"/>
      <c r="L94" s="53"/>
      <c r="M94" s="52"/>
      <c r="N94" s="53"/>
      <c r="O94" s="52"/>
      <c r="P94" s="53">
        <f>SUM(tblDues23[[#This Row],[Ene]:[Dic]])</f>
        <v>64</v>
      </c>
      <c r="Q94" s="37"/>
    </row>
    <row r="95" spans="2:17" ht="15.9" customHeight="1" x14ac:dyDescent="0.2">
      <c r="B95" s="67"/>
      <c r="C95" s="4" t="s">
        <v>58</v>
      </c>
      <c r="D95" s="53"/>
      <c r="E95" s="52"/>
      <c r="F95" s="53"/>
      <c r="G95" s="52"/>
      <c r="H95" s="53"/>
      <c r="I95" s="52"/>
      <c r="J95" s="53"/>
      <c r="K95" s="52"/>
      <c r="L95" s="53"/>
      <c r="M95" s="52"/>
      <c r="N95" s="53"/>
      <c r="O95" s="52"/>
      <c r="P95" s="53">
        <f>SUM(tblDues23[[#This Row],[Ene]:[Dic]])</f>
        <v>0</v>
      </c>
      <c r="Q95" s="38"/>
    </row>
    <row r="96" spans="2:17" ht="21" customHeight="1" x14ac:dyDescent="0.2">
      <c r="B96" s="67"/>
      <c r="C96" s="20" t="s">
        <v>3</v>
      </c>
      <c r="D96" s="54">
        <f>SUBTOTAL(109,tblDues23[Ene])</f>
        <v>29</v>
      </c>
      <c r="E96" s="51">
        <f>SUBTOTAL(109,tblDues23[Feb])</f>
        <v>18</v>
      </c>
      <c r="F96" s="54">
        <f>SUBTOTAL(109,tblDues23[Marzo])</f>
        <v>17</v>
      </c>
      <c r="G96" s="51">
        <f>SUBTOTAL(109,tblDues23[Abril])</f>
        <v>0</v>
      </c>
      <c r="H96" s="54">
        <f>SUBTOTAL(109,tblDues23[Mayo])</f>
        <v>0</v>
      </c>
      <c r="I96" s="51">
        <f>SUBTOTAL(109,tblDues23[Junio])</f>
        <v>0</v>
      </c>
      <c r="J96" s="54">
        <f>SUBTOTAL(109,tblDues23[Julio])</f>
        <v>0</v>
      </c>
      <c r="K96" s="51">
        <f>SUBTOTAL(109,tblDues23[Ago])</f>
        <v>0</v>
      </c>
      <c r="L96" s="54">
        <f>SUBTOTAL(109,tblDues23[Sept])</f>
        <v>0</v>
      </c>
      <c r="M96" s="51">
        <f>SUBTOTAL(109,tblDues23[Oct])</f>
        <v>0</v>
      </c>
      <c r="N96" s="54">
        <f>SUBTOTAL(109,tblDues23[Nov])</f>
        <v>0</v>
      </c>
      <c r="O96" s="51">
        <f>SUBTOTAL(109,tblDues23[Dic])</f>
        <v>0</v>
      </c>
      <c r="P96" s="54">
        <f>SUBTOTAL(109,tblDues23[Año])</f>
        <v>64</v>
      </c>
      <c r="Q96" s="11"/>
    </row>
    <row r="97" spans="2:17" ht="8.1" customHeight="1" x14ac:dyDescent="0.2">
      <c r="B97" s="67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</row>
    <row r="98" spans="2:17" ht="20.100000000000001" customHeight="1" x14ac:dyDescent="0.2"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2:17" ht="21" customHeight="1" x14ac:dyDescent="0.2">
      <c r="B99" s="67"/>
      <c r="C99" s="24" t="s">
        <v>59</v>
      </c>
      <c r="D99" s="12"/>
      <c r="E99" s="3"/>
      <c r="F99" s="12"/>
      <c r="G99" s="3"/>
      <c r="H99" s="12"/>
      <c r="I99" s="3"/>
      <c r="J99" s="12"/>
      <c r="K99" s="3"/>
      <c r="L99" s="12"/>
      <c r="M99" s="3"/>
      <c r="N99" s="12"/>
      <c r="O99" s="3"/>
      <c r="P99" s="12"/>
      <c r="Q99" s="3"/>
    </row>
    <row r="100" spans="2:17" ht="15.9" hidden="1" customHeight="1" x14ac:dyDescent="0.2">
      <c r="B100" s="67"/>
      <c r="C100" t="s">
        <v>60</v>
      </c>
      <c r="D100" t="s">
        <v>79</v>
      </c>
      <c r="E100" t="s">
        <v>81</v>
      </c>
      <c r="F100" t="s">
        <v>83</v>
      </c>
      <c r="G100" t="s">
        <v>85</v>
      </c>
      <c r="H100" t="s">
        <v>87</v>
      </c>
      <c r="I100" t="s">
        <v>89</v>
      </c>
      <c r="J100" t="s">
        <v>91</v>
      </c>
      <c r="K100" t="s">
        <v>93</v>
      </c>
      <c r="L100" t="s">
        <v>95</v>
      </c>
      <c r="M100" t="s">
        <v>97</v>
      </c>
      <c r="N100" t="s">
        <v>99</v>
      </c>
      <c r="O100" t="s">
        <v>101</v>
      </c>
      <c r="P100" t="s">
        <v>103</v>
      </c>
      <c r="Q100" t="s">
        <v>105</v>
      </c>
    </row>
    <row r="101" spans="2:17" ht="15.9" customHeight="1" x14ac:dyDescent="0.2">
      <c r="B101" s="67"/>
      <c r="C101" s="4" t="s">
        <v>61</v>
      </c>
      <c r="D101" s="53"/>
      <c r="E101" s="52"/>
      <c r="F101" s="53">
        <v>29</v>
      </c>
      <c r="G101" s="52"/>
      <c r="H101" s="53"/>
      <c r="I101" s="52"/>
      <c r="J101" s="53"/>
      <c r="K101" s="52"/>
      <c r="L101" s="53"/>
      <c r="M101" s="52"/>
      <c r="N101" s="53"/>
      <c r="O101" s="52"/>
      <c r="P101" s="53">
        <f>SUM(tblPersonal24[[#This Row],[Ene]:[Dic]])</f>
        <v>29</v>
      </c>
      <c r="Q101" s="38"/>
    </row>
    <row r="102" spans="2:17" ht="15.9" customHeight="1" x14ac:dyDescent="0.2">
      <c r="B102" s="67"/>
      <c r="C102" s="4" t="s">
        <v>42</v>
      </c>
      <c r="D102" s="53"/>
      <c r="E102" s="52">
        <v>35</v>
      </c>
      <c r="F102" s="53"/>
      <c r="G102" s="52"/>
      <c r="H102" s="53"/>
      <c r="I102" s="52"/>
      <c r="J102" s="53"/>
      <c r="K102" s="52"/>
      <c r="L102" s="53"/>
      <c r="M102" s="52"/>
      <c r="N102" s="53"/>
      <c r="O102" s="52"/>
      <c r="P102" s="53">
        <f>SUM(tblPersonal24[[#This Row],[Ene]:[Dic]])</f>
        <v>35</v>
      </c>
      <c r="Q102" s="37"/>
    </row>
    <row r="103" spans="2:17" ht="15.9" customHeight="1" x14ac:dyDescent="0.2">
      <c r="B103" s="67"/>
      <c r="C103" s="4" t="s">
        <v>62</v>
      </c>
      <c r="D103" s="53">
        <v>25</v>
      </c>
      <c r="E103" s="52">
        <v>25</v>
      </c>
      <c r="F103" s="53">
        <v>25</v>
      </c>
      <c r="G103" s="52"/>
      <c r="H103" s="53"/>
      <c r="I103" s="52"/>
      <c r="J103" s="53"/>
      <c r="K103" s="52"/>
      <c r="L103" s="53"/>
      <c r="M103" s="52"/>
      <c r="N103" s="53"/>
      <c r="O103" s="52"/>
      <c r="P103" s="53">
        <f>SUM(tblPersonal24[[#This Row],[Ene]:[Dic]])</f>
        <v>75</v>
      </c>
      <c r="Q103" s="38"/>
    </row>
    <row r="104" spans="2:17" ht="15.9" customHeight="1" x14ac:dyDescent="0.2">
      <c r="B104" s="67"/>
      <c r="C104" s="4" t="s">
        <v>63</v>
      </c>
      <c r="D104" s="53"/>
      <c r="E104" s="52"/>
      <c r="F104" s="53"/>
      <c r="G104" s="52"/>
      <c r="H104" s="53"/>
      <c r="I104" s="52"/>
      <c r="J104" s="53"/>
      <c r="K104" s="52"/>
      <c r="L104" s="53"/>
      <c r="M104" s="52"/>
      <c r="N104" s="53"/>
      <c r="O104" s="52"/>
      <c r="P104" s="53">
        <f>SUM(tblPersonal24[[#This Row],[Ene]:[Dic]])</f>
        <v>0</v>
      </c>
      <c r="Q104" s="37"/>
    </row>
    <row r="105" spans="2:17" ht="15.9" customHeight="1" x14ac:dyDescent="0.2">
      <c r="B105" s="67"/>
      <c r="C105" s="4" t="s">
        <v>64</v>
      </c>
      <c r="D105" s="53"/>
      <c r="E105" s="52"/>
      <c r="F105" s="53"/>
      <c r="G105" s="52"/>
      <c r="H105" s="53"/>
      <c r="I105" s="52"/>
      <c r="J105" s="53"/>
      <c r="K105" s="52"/>
      <c r="L105" s="53"/>
      <c r="M105" s="52"/>
      <c r="N105" s="53"/>
      <c r="O105" s="52"/>
      <c r="P105" s="53">
        <f>SUM(tblPersonal24[[#This Row],[Ene]:[Dic]])</f>
        <v>0</v>
      </c>
      <c r="Q105" s="38"/>
    </row>
    <row r="106" spans="2:17" ht="21" customHeight="1" x14ac:dyDescent="0.2">
      <c r="B106" s="67"/>
      <c r="C106" s="20" t="s">
        <v>3</v>
      </c>
      <c r="D106" s="54">
        <f>SUBTOTAL(109,tblPersonal24[Ene])</f>
        <v>25</v>
      </c>
      <c r="E106" s="51">
        <f>SUBTOTAL(109,tblPersonal24[Feb])</f>
        <v>60</v>
      </c>
      <c r="F106" s="54">
        <f>SUBTOTAL(109,tblPersonal24[Marzo])</f>
        <v>54</v>
      </c>
      <c r="G106" s="51">
        <f>SUBTOTAL(109,tblPersonal24[Abril])</f>
        <v>0</v>
      </c>
      <c r="H106" s="54">
        <f>SUBTOTAL(109,tblPersonal24[Mayo])</f>
        <v>0</v>
      </c>
      <c r="I106" s="51">
        <f>SUBTOTAL(109,tblPersonal24[Junio])</f>
        <v>0</v>
      </c>
      <c r="J106" s="54">
        <f>SUBTOTAL(109,tblPersonal24[Julio])</f>
        <v>0</v>
      </c>
      <c r="K106" s="51">
        <f>SUBTOTAL(109,tblPersonal24[Ago])</f>
        <v>0</v>
      </c>
      <c r="L106" s="54">
        <f>SUBTOTAL(109,tblPersonal24[Sept])</f>
        <v>0</v>
      </c>
      <c r="M106" s="51">
        <f>SUBTOTAL(109,tblPersonal24[Oct])</f>
        <v>0</v>
      </c>
      <c r="N106" s="54">
        <f>SUBTOTAL(109,tblPersonal24[Nov])</f>
        <v>0</v>
      </c>
      <c r="O106" s="51">
        <f>SUBTOTAL(109,tblPersonal24[Dic])</f>
        <v>0</v>
      </c>
      <c r="P106" s="54">
        <f>SUBTOTAL(109,tblPersonal24[Año])</f>
        <v>139</v>
      </c>
      <c r="Q106" s="11"/>
    </row>
    <row r="107" spans="2:17" ht="8.1" customHeight="1" x14ac:dyDescent="0.2">
      <c r="B107" s="67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</row>
    <row r="108" spans="2:17" ht="20.100000000000001" customHeight="1" x14ac:dyDescent="0.2"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2:17" ht="21" customHeight="1" x14ac:dyDescent="0.2">
      <c r="B109" s="67"/>
      <c r="C109" s="22" t="s">
        <v>65</v>
      </c>
      <c r="D109" s="13"/>
      <c r="E109" s="3"/>
      <c r="F109" s="13"/>
      <c r="G109" s="3"/>
      <c r="H109" s="13"/>
      <c r="I109" s="3"/>
      <c r="J109" s="13"/>
      <c r="K109" s="3"/>
      <c r="L109" s="13"/>
      <c r="M109" s="3"/>
      <c r="N109" s="13"/>
      <c r="O109" s="3"/>
      <c r="P109" s="13"/>
      <c r="Q109" s="3"/>
    </row>
    <row r="110" spans="2:17" ht="15.9" hidden="1" customHeight="1" x14ac:dyDescent="0.2">
      <c r="B110" s="67"/>
      <c r="C110" t="s">
        <v>66</v>
      </c>
      <c r="D110" t="s">
        <v>79</v>
      </c>
      <c r="E110" t="s">
        <v>81</v>
      </c>
      <c r="F110" t="s">
        <v>83</v>
      </c>
      <c r="G110" t="s">
        <v>85</v>
      </c>
      <c r="H110" t="s">
        <v>87</v>
      </c>
      <c r="I110" t="s">
        <v>89</v>
      </c>
      <c r="J110" t="s">
        <v>91</v>
      </c>
      <c r="K110" t="s">
        <v>93</v>
      </c>
      <c r="L110" t="s">
        <v>95</v>
      </c>
      <c r="M110" t="s">
        <v>97</v>
      </c>
      <c r="N110" t="s">
        <v>99</v>
      </c>
      <c r="O110" t="s">
        <v>101</v>
      </c>
      <c r="P110" t="s">
        <v>103</v>
      </c>
      <c r="Q110" t="s">
        <v>105</v>
      </c>
    </row>
    <row r="111" spans="2:17" ht="15.9" customHeight="1" x14ac:dyDescent="0.2">
      <c r="B111" s="67"/>
      <c r="C111" s="4" t="s">
        <v>67</v>
      </c>
      <c r="D111" s="48">
        <v>25</v>
      </c>
      <c r="E111" s="52">
        <v>25</v>
      </c>
      <c r="F111" s="48">
        <v>25</v>
      </c>
      <c r="G111" s="52"/>
      <c r="H111" s="48"/>
      <c r="I111" s="52"/>
      <c r="J111" s="48"/>
      <c r="K111" s="52"/>
      <c r="L111" s="48"/>
      <c r="M111" s="52"/>
      <c r="N111" s="48"/>
      <c r="O111" s="52"/>
      <c r="P111" s="48">
        <f>SUM(tblFinancial25[[#This Row],[Ene]:[Dic]])</f>
        <v>75</v>
      </c>
      <c r="Q111" s="38"/>
    </row>
    <row r="112" spans="2:17" ht="15.9" customHeight="1" x14ac:dyDescent="0.2">
      <c r="B112" s="67"/>
      <c r="C112" s="4" t="s">
        <v>68</v>
      </c>
      <c r="D112" s="48">
        <v>45</v>
      </c>
      <c r="E112" s="52">
        <v>45</v>
      </c>
      <c r="F112" s="48">
        <v>45</v>
      </c>
      <c r="G112" s="52"/>
      <c r="H112" s="48"/>
      <c r="I112" s="52"/>
      <c r="J112" s="48"/>
      <c r="K112" s="52"/>
      <c r="L112" s="48"/>
      <c r="M112" s="52"/>
      <c r="N112" s="48"/>
      <c r="O112" s="52"/>
      <c r="P112" s="48">
        <f>SUM(tblFinancial25[[#This Row],[Ene]:[Dic]])</f>
        <v>135</v>
      </c>
      <c r="Q112" s="37"/>
    </row>
    <row r="113" spans="2:17" ht="15.9" customHeight="1" x14ac:dyDescent="0.2">
      <c r="B113" s="67"/>
      <c r="C113" s="4" t="s">
        <v>69</v>
      </c>
      <c r="D113" s="48">
        <v>75</v>
      </c>
      <c r="E113" s="52">
        <v>75</v>
      </c>
      <c r="F113" s="48">
        <v>75</v>
      </c>
      <c r="G113" s="52"/>
      <c r="H113" s="48"/>
      <c r="I113" s="52"/>
      <c r="J113" s="48"/>
      <c r="K113" s="52"/>
      <c r="L113" s="48"/>
      <c r="M113" s="52"/>
      <c r="N113" s="48"/>
      <c r="O113" s="52"/>
      <c r="P113" s="48">
        <f>SUM(tblFinancial25[[#This Row],[Ene]:[Dic]])</f>
        <v>225</v>
      </c>
      <c r="Q113" s="38"/>
    </row>
    <row r="114" spans="2:17" ht="15.9" customHeight="1" x14ac:dyDescent="0.2">
      <c r="B114" s="67"/>
      <c r="C114" s="4" t="s">
        <v>70</v>
      </c>
      <c r="D114" s="48"/>
      <c r="E114" s="52"/>
      <c r="F114" s="48"/>
      <c r="G114" s="52"/>
      <c r="H114" s="48"/>
      <c r="I114" s="52"/>
      <c r="J114" s="48"/>
      <c r="K114" s="52"/>
      <c r="L114" s="48"/>
      <c r="M114" s="52"/>
      <c r="N114" s="48"/>
      <c r="O114" s="52"/>
      <c r="P114" s="48">
        <f>SUM(tblFinancial25[[#This Row],[Ene]:[Dic]])</f>
        <v>0</v>
      </c>
      <c r="Q114" s="37"/>
    </row>
    <row r="115" spans="2:17" ht="15.9" customHeight="1" x14ac:dyDescent="0.2">
      <c r="B115" s="67"/>
      <c r="C115" s="4" t="s">
        <v>71</v>
      </c>
      <c r="D115" s="48">
        <v>32</v>
      </c>
      <c r="E115" s="52">
        <v>34</v>
      </c>
      <c r="F115" s="48">
        <v>1</v>
      </c>
      <c r="G115" s="52"/>
      <c r="H115" s="48"/>
      <c r="I115" s="52"/>
      <c r="J115" s="48"/>
      <c r="K115" s="52"/>
      <c r="L115" s="48"/>
      <c r="M115" s="52"/>
      <c r="N115" s="48"/>
      <c r="O115" s="52"/>
      <c r="P115" s="48">
        <f>SUM(tblFinancial25[[#This Row],[Ene]:[Dic]])</f>
        <v>67</v>
      </c>
      <c r="Q115" s="38"/>
    </row>
    <row r="116" spans="2:17" ht="21" customHeight="1" x14ac:dyDescent="0.2">
      <c r="B116" s="67"/>
      <c r="C116" s="20" t="s">
        <v>3</v>
      </c>
      <c r="D116" s="50">
        <f>SUBTOTAL(109,tblFinancial25[Ene])</f>
        <v>177</v>
      </c>
      <c r="E116" s="51">
        <f>SUBTOTAL(109,tblFinancial25[Feb])</f>
        <v>179</v>
      </c>
      <c r="F116" s="50">
        <f>SUBTOTAL(109,tblFinancial25[Marzo])</f>
        <v>146</v>
      </c>
      <c r="G116" s="51">
        <f>SUBTOTAL(109,tblFinancial25[Abril])</f>
        <v>0</v>
      </c>
      <c r="H116" s="50">
        <f>SUBTOTAL(109,tblFinancial25[Mayo])</f>
        <v>0</v>
      </c>
      <c r="I116" s="51">
        <f>SUBTOTAL(109,tblFinancial25[Junio])</f>
        <v>0</v>
      </c>
      <c r="J116" s="50">
        <f>SUBTOTAL(109,tblFinancial25[Julio])</f>
        <v>0</v>
      </c>
      <c r="K116" s="51">
        <f>SUBTOTAL(109,tblFinancial25[Ago])</f>
        <v>0</v>
      </c>
      <c r="L116" s="50">
        <f>SUBTOTAL(109,tblFinancial25[Sept])</f>
        <v>0</v>
      </c>
      <c r="M116" s="51">
        <f>SUBTOTAL(109,tblFinancial25[Oct])</f>
        <v>0</v>
      </c>
      <c r="N116" s="50">
        <f>SUBTOTAL(109,tblFinancial25[Nov])</f>
        <v>0</v>
      </c>
      <c r="O116" s="51">
        <f>SUBTOTAL(109,tblFinancial25[Dic])</f>
        <v>0</v>
      </c>
      <c r="P116" s="50">
        <f>SUBTOTAL(109,tblFinancial25[Año])</f>
        <v>502</v>
      </c>
      <c r="Q116" s="11"/>
    </row>
    <row r="117" spans="2:17" ht="8.1" customHeight="1" x14ac:dyDescent="0.2">
      <c r="B117" s="67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</row>
    <row r="118" spans="2:17" ht="20.100000000000001" customHeight="1" x14ac:dyDescent="0.2"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2:17" ht="21" customHeight="1" x14ac:dyDescent="0.2">
      <c r="B119" s="67"/>
      <c r="C119" s="22" t="s">
        <v>72</v>
      </c>
      <c r="D119" s="13"/>
      <c r="E119" s="3"/>
      <c r="F119" s="13"/>
      <c r="G119" s="3"/>
      <c r="H119" s="13"/>
      <c r="I119" s="3"/>
      <c r="J119" s="13"/>
      <c r="K119" s="3"/>
      <c r="L119" s="13"/>
      <c r="M119" s="3"/>
      <c r="N119" s="13"/>
      <c r="O119" s="3"/>
      <c r="P119" s="13"/>
      <c r="Q119" s="3"/>
    </row>
    <row r="120" spans="2:17" ht="8.1" hidden="1" customHeight="1" x14ac:dyDescent="0.2">
      <c r="B120" s="67"/>
      <c r="C120" t="s">
        <v>73</v>
      </c>
      <c r="D120" t="s">
        <v>79</v>
      </c>
      <c r="E120" t="s">
        <v>81</v>
      </c>
      <c r="F120" t="s">
        <v>83</v>
      </c>
      <c r="G120" t="s">
        <v>85</v>
      </c>
      <c r="H120" t="s">
        <v>87</v>
      </c>
      <c r="I120" t="s">
        <v>89</v>
      </c>
      <c r="J120" t="s">
        <v>91</v>
      </c>
      <c r="K120" t="s">
        <v>93</v>
      </c>
      <c r="L120" t="s">
        <v>95</v>
      </c>
      <c r="M120" t="s">
        <v>97</v>
      </c>
      <c r="N120" t="s">
        <v>99</v>
      </c>
      <c r="O120" t="s">
        <v>101</v>
      </c>
      <c r="P120" t="s">
        <v>103</v>
      </c>
      <c r="Q120" t="s">
        <v>105</v>
      </c>
    </row>
    <row r="121" spans="2:17" ht="15.9" customHeight="1" x14ac:dyDescent="0.2">
      <c r="B121" s="67"/>
      <c r="C121" s="19" t="s">
        <v>74</v>
      </c>
      <c r="D121" s="48"/>
      <c r="E121" s="52"/>
      <c r="F121" s="48"/>
      <c r="G121" s="52"/>
      <c r="H121" s="48"/>
      <c r="I121" s="52"/>
      <c r="J121" s="48"/>
      <c r="K121" s="52"/>
      <c r="L121" s="48"/>
      <c r="M121" s="52"/>
      <c r="N121" s="48"/>
      <c r="O121" s="52"/>
      <c r="P121" s="48">
        <f>SUM(tblMisc26[[#This Row],[Ene]:[Dic]])</f>
        <v>0</v>
      </c>
      <c r="Q121" s="38"/>
    </row>
    <row r="122" spans="2:17" ht="15.9" customHeight="1" x14ac:dyDescent="0.2">
      <c r="B122" s="67"/>
      <c r="C122" s="19" t="s">
        <v>74</v>
      </c>
      <c r="D122" s="48"/>
      <c r="E122" s="52"/>
      <c r="F122" s="48"/>
      <c r="G122" s="52"/>
      <c r="H122" s="48"/>
      <c r="I122" s="52"/>
      <c r="J122" s="48"/>
      <c r="K122" s="52"/>
      <c r="L122" s="48"/>
      <c r="M122" s="52"/>
      <c r="N122" s="48"/>
      <c r="O122" s="52"/>
      <c r="P122" s="48">
        <f>SUM(tblMisc26[[#This Row],[Ene]:[Dic]])</f>
        <v>0</v>
      </c>
      <c r="Q122" s="37"/>
    </row>
    <row r="123" spans="2:17" ht="15.9" customHeight="1" x14ac:dyDescent="0.2">
      <c r="B123" s="67"/>
      <c r="C123" s="19" t="s">
        <v>74</v>
      </c>
      <c r="D123" s="48"/>
      <c r="E123" s="52"/>
      <c r="F123" s="48"/>
      <c r="G123" s="52"/>
      <c r="H123" s="48"/>
      <c r="I123" s="52"/>
      <c r="J123" s="48"/>
      <c r="K123" s="52"/>
      <c r="L123" s="48"/>
      <c r="M123" s="52"/>
      <c r="N123" s="48"/>
      <c r="O123" s="52"/>
      <c r="P123" s="48">
        <f>SUM(tblMisc26[[#This Row],[Ene]:[Dic]])</f>
        <v>0</v>
      </c>
      <c r="Q123" s="38"/>
    </row>
    <row r="124" spans="2:17" ht="15.9" customHeight="1" x14ac:dyDescent="0.2">
      <c r="B124" s="67"/>
      <c r="C124" s="19" t="s">
        <v>74</v>
      </c>
      <c r="D124" s="48"/>
      <c r="E124" s="52"/>
      <c r="F124" s="48"/>
      <c r="G124" s="52"/>
      <c r="H124" s="48"/>
      <c r="I124" s="52"/>
      <c r="J124" s="48"/>
      <c r="K124" s="52"/>
      <c r="L124" s="48"/>
      <c r="M124" s="52"/>
      <c r="N124" s="48"/>
      <c r="O124" s="52"/>
      <c r="P124" s="48">
        <f>SUM(tblMisc26[[#This Row],[Ene]:[Dic]])</f>
        <v>0</v>
      </c>
      <c r="Q124" s="37"/>
    </row>
    <row r="125" spans="2:17" ht="15.9" customHeight="1" x14ac:dyDescent="0.2">
      <c r="B125" s="67"/>
      <c r="C125" s="19" t="s">
        <v>74</v>
      </c>
      <c r="D125" s="48"/>
      <c r="E125" s="52"/>
      <c r="F125" s="48"/>
      <c r="G125" s="52"/>
      <c r="H125" s="48"/>
      <c r="I125" s="52"/>
      <c r="J125" s="48"/>
      <c r="K125" s="52"/>
      <c r="L125" s="48"/>
      <c r="M125" s="52"/>
      <c r="N125" s="48"/>
      <c r="O125" s="52"/>
      <c r="P125" s="48">
        <f>SUM(tblMisc26[[#This Row],[Ene]:[Dic]])</f>
        <v>0</v>
      </c>
      <c r="Q125" s="38"/>
    </row>
    <row r="126" spans="2:17" ht="21" customHeight="1" x14ac:dyDescent="0.2">
      <c r="B126" s="67"/>
      <c r="C126" s="20" t="s">
        <v>3</v>
      </c>
      <c r="D126" s="50">
        <f>SUBTOTAL(109,tblMisc26[Ene])</f>
        <v>0</v>
      </c>
      <c r="E126" s="51">
        <f>SUBTOTAL(109,tblMisc26[Feb])</f>
        <v>0</v>
      </c>
      <c r="F126" s="50">
        <f>SUBTOTAL(109,tblMisc26[Marzo])</f>
        <v>0</v>
      </c>
      <c r="G126" s="51">
        <f>SUBTOTAL(109,tblMisc26[Abril])</f>
        <v>0</v>
      </c>
      <c r="H126" s="50">
        <f>SUBTOTAL(109,tblMisc26[Mayo])</f>
        <v>0</v>
      </c>
      <c r="I126" s="51">
        <f>SUBTOTAL(109,tblMisc26[Junio])</f>
        <v>0</v>
      </c>
      <c r="J126" s="50">
        <f>SUBTOTAL(109,tblMisc26[Julio])</f>
        <v>0</v>
      </c>
      <c r="K126" s="51">
        <f>SUBTOTAL(109,tblMisc26[Ago])</f>
        <v>0</v>
      </c>
      <c r="L126" s="50">
        <f>SUBTOTAL(109,tblMisc26[Sept])</f>
        <v>0</v>
      </c>
      <c r="M126" s="51">
        <f>SUBTOTAL(109,tblMisc26[Oct])</f>
        <v>0</v>
      </c>
      <c r="N126" s="50">
        <f>SUBTOTAL(109,tblMisc26[Nov])</f>
        <v>0</v>
      </c>
      <c r="O126" s="51">
        <f>SUBTOTAL(109,tblMisc26[Dic])</f>
        <v>0</v>
      </c>
      <c r="P126" s="50">
        <f>SUBTOTAL(109,tblMisc26[Año])</f>
        <v>0</v>
      </c>
      <c r="Q126" s="11"/>
    </row>
    <row r="127" spans="2:17" ht="8.1" customHeight="1" x14ac:dyDescent="0.2">
      <c r="B127" s="67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</row>
    <row r="128" spans="2:17" ht="20.100000000000001" customHeight="1" x14ac:dyDescent="0.2"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2:17" ht="21" customHeight="1" x14ac:dyDescent="0.2">
      <c r="B129" s="67"/>
      <c r="C129" s="25" t="s">
        <v>75</v>
      </c>
      <c r="D129" s="29" t="s">
        <v>78</v>
      </c>
      <c r="E129" s="26" t="s">
        <v>80</v>
      </c>
      <c r="F129" s="29" t="s">
        <v>82</v>
      </c>
      <c r="G129" s="26" t="s">
        <v>84</v>
      </c>
      <c r="H129" s="29" t="s">
        <v>86</v>
      </c>
      <c r="I129" s="26" t="s">
        <v>88</v>
      </c>
      <c r="J129" s="29" t="s">
        <v>90</v>
      </c>
      <c r="K129" s="26" t="s">
        <v>92</v>
      </c>
      <c r="L129" s="29" t="s">
        <v>94</v>
      </c>
      <c r="M129" s="26" t="s">
        <v>96</v>
      </c>
      <c r="N129" s="29" t="s">
        <v>98</v>
      </c>
      <c r="O129" s="26" t="s">
        <v>100</v>
      </c>
      <c r="P129" s="29" t="s">
        <v>102</v>
      </c>
      <c r="Q129" s="25" t="s">
        <v>104</v>
      </c>
    </row>
    <row r="130" spans="2:17" ht="15.9" customHeight="1" x14ac:dyDescent="0.2">
      <c r="B130" s="67"/>
      <c r="C130" s="27" t="s">
        <v>76</v>
      </c>
      <c r="D130" s="55">
        <f>SUM(tblMisc26[[#Totals],[Ene]],tblFinancial25[[#Totals],[Ene]],tblPersonal24[[#Totals],[Ene]],tblDues23[[#Totals],[Ene]],tblRecreation22[[#Totals],[Ene]],tblVacations21[[#Totals],[Ene]],tblHealth20[[#Totals],[Ene]],tblEntertainment19[[#Totals],[Ene]],tblTransportation18[[#Totals],[Ene]],tblDaily17[[#Totals],[Ene]],tblHome16[[#Totals],[Ene]])</f>
        <v>531737</v>
      </c>
      <c r="E130" s="56">
        <f>SUM(tblMisc26[[#Totals],[Feb]],tblFinancial25[[#Totals],[Feb]],tblPersonal24[[#Totals],[Feb]],tblDues23[[#Totals],[Feb]],tblRecreation22[[#Totals],[Feb]],tblVacations21[[#Totals],[Feb]],tblHealth20[[#Totals],[Feb]],tblEntertainment19[[#Totals],[Feb]],tblTransportation18[[#Totals],[Feb]],tblDaily17[[#Totals],[Feb]],tblHome16[[#Totals],[Feb]])</f>
        <v>3429</v>
      </c>
      <c r="F130" s="55">
        <f>SUM(tblMisc26[[#Totals],[Marzo]],tblFinancial25[[#Totals],[Marzo]],tblPersonal24[[#Totals],[Marzo]],tblDues23[[#Totals],[Marzo]],tblRecreation22[[#Totals],[Marzo]],tblVacations21[[#Totals],[Marzo]],tblHealth20[[#Totals],[Marzo]],tblEntertainment19[[#Totals],[Marzo]],tblTransportation18[[#Totals],[Marzo]],tblDaily17[[#Totals],[Marzo]],tblHome16[[#Totals],[Marzo]])</f>
        <v>2718</v>
      </c>
      <c r="G130" s="56">
        <f>SUM(tblMisc26[[#Totals],[Abril]],tblFinancial25[[#Totals],[Abril]],tblPersonal24[[#Totals],[Abril]],tblDues23[[#Totals],[Abril]],tblRecreation22[[#Totals],[Abril]],tblVacations21[[#Totals],[Abril]],tblHealth20[[#Totals],[Abril]],tblEntertainment19[[#Totals],[Abril]],tblTransportation18[[#Totals],[Abril]],tblDaily17[[#Totals],[Abril]],tblHome16[[#Totals],[Abril]])</f>
        <v>0</v>
      </c>
      <c r="H130" s="55">
        <f>SUM(tblMisc26[[#Totals],[Mayo]],tblFinancial25[[#Totals],[Mayo]],tblPersonal24[[#Totals],[Mayo]],tblDues23[[#Totals],[Mayo]],tblRecreation22[[#Totals],[Mayo]],tblVacations21[[#Totals],[Mayo]],tblHealth20[[#Totals],[Mayo]],tblEntertainment19[[#Totals],[Mayo]],tblTransportation18[[#Totals],[Mayo]],tblDaily17[[#Totals],[Mayo]],tblHome16[[#Totals],[Mayo]])</f>
        <v>0</v>
      </c>
      <c r="I130" s="56">
        <f>SUM(tblMisc26[[#Totals],[Junio]],tblFinancial25[[#Totals],[Junio]],tblPersonal24[[#Totals],[Junio]],tblDues23[[#Totals],[Junio]],tblRecreation22[[#Totals],[Junio]],tblVacations21[[#Totals],[Junio]],tblHealth20[[#Totals],[Junio]],tblEntertainment19[[#Totals],[Junio]],tblTransportation18[[#Totals],[Junio]],tblDaily17[[#Totals],[Junio]],tblHome16[[#Totals],[Junio]])</f>
        <v>0</v>
      </c>
      <c r="J130" s="55">
        <f>SUM(tblMisc26[[#Totals],[Julio]],tblFinancial25[[#Totals],[Julio]],tblPersonal24[[#Totals],[Julio]],tblDues23[[#Totals],[Julio]],tblRecreation22[[#Totals],[Julio]],tblVacations21[[#Totals],[Julio]],tblHealth20[[#Totals],[Julio]],tblEntertainment19[[#Totals],[Julio]],tblTransportation18[[#Totals],[Julio]],tblDaily17[[#Totals],[Julio]],tblHome16[[#Totals],[Julio]])</f>
        <v>0</v>
      </c>
      <c r="K130" s="56">
        <f>SUM(tblMisc26[[#Totals],[Ago]],tblFinancial25[[#Totals],[Ago]],tblPersonal24[[#Totals],[Ago]],tblDues23[[#Totals],[Ago]],tblRecreation22[[#Totals],[Ago]],tblVacations21[[#Totals],[Ago]],tblHealth20[[#Totals],[Ago]],tblEntertainment19[[#Totals],[Ago]],tblTransportation18[[#Totals],[Ago]],tblDaily17[[#Totals],[Ago]],tblHome16[[#Totals],[Ago]])</f>
        <v>0</v>
      </c>
      <c r="L130" s="55">
        <f>SUM(tblMisc26[[#Totals],[Sept]],tblFinancial25[[#Totals],[Sept]],tblPersonal24[[#Totals],[Sept]],tblDues23[[#Totals],[Sept]],tblRecreation22[[#Totals],[Sept]],tblVacations21[[#Totals],[Sept]],tblHealth20[[#Totals],[Sept]],tblEntertainment19[[#Totals],[Sept]],tblTransportation18[[#Totals],[Sept]],tblDaily17[[#Totals],[Sept]],tblHome16[[#Totals],[Sept]])</f>
        <v>0</v>
      </c>
      <c r="M130" s="56">
        <f>SUM(tblMisc26[[#Totals],[Oct]],tblFinancial25[[#Totals],[Oct]],tblPersonal24[[#Totals],[Oct]],tblDues23[[#Totals],[Oct]],tblRecreation22[[#Totals],[Oct]],tblVacations21[[#Totals],[Oct]],tblHealth20[[#Totals],[Oct]],tblEntertainment19[[#Totals],[Oct]],tblTransportation18[[#Totals],[Oct]],tblDaily17[[#Totals],[Oct]],tblHome16[[#Totals],[Oct]])</f>
        <v>0</v>
      </c>
      <c r="N130" s="55">
        <f>SUM(tblMisc26[[#Totals],[Nov]],tblFinancial25[[#Totals],[Nov]],tblPersonal24[[#Totals],[Nov]],tblDues23[[#Totals],[Nov]],tblRecreation22[[#Totals],[Nov]],tblVacations21[[#Totals],[Nov]],tblHealth20[[#Totals],[Nov]],tblEntertainment19[[#Totals],[Nov]],tblTransportation18[[#Totals],[Nov]],tblDaily17[[#Totals],[Nov]],tblHome16[[#Totals],[Nov]])</f>
        <v>0</v>
      </c>
      <c r="O130" s="56">
        <f>SUM(tblMisc26[[#Totals],[Dic]],tblFinancial25[[#Totals],[Dic]],tblPersonal24[[#Totals],[Dic]],tblDues23[[#Totals],[Dic]],tblRecreation22[[#Totals],[Dic]],tblVacations21[[#Totals],[Dic]],tblHealth20[[#Totals],[Dic]],tblEntertainment19[[#Totals],[Dic]],tblTransportation18[[#Totals],[Dic]],tblDaily17[[#Totals],[Dic]],tblHome16[[#Totals],[Dic]])</f>
        <v>0</v>
      </c>
      <c r="P130" s="55">
        <f>SUM(tblMisc26[[#Totals],[Año]],tblFinancial25[[#Totals],[Año]],tblPersonal24[[#Totals],[Año]],tblDues23[[#Totals],[Año]],tblRecreation22[[#Totals],[Año]],tblVacations21[[#Totals],[Año]],tblHealth20[[#Totals],[Año]],tblEntertainment19[[#Totals],[Año]],tblTransportation18[[#Totals],[Año]],tblDaily17[[#Totals],[Año]],tblHome16[[#Totals],[Año]])</f>
        <v>537884</v>
      </c>
      <c r="Q130" s="39"/>
    </row>
    <row r="131" spans="2:17" ht="15.9" customHeight="1" x14ac:dyDescent="0.2">
      <c r="B131" s="67"/>
      <c r="C131" s="27" t="s">
        <v>77</v>
      </c>
      <c r="D131" s="55">
        <f>tblIncome15[[#Totals],[Ene]]-D130</f>
        <v>318263</v>
      </c>
      <c r="E131" s="56">
        <f>tblIncome15[[#Totals],[Feb]]-E130</f>
        <v>-3429</v>
      </c>
      <c r="F131" s="55">
        <f>tblIncome15[[#Totals],[Marzo]]-F130</f>
        <v>-2718</v>
      </c>
      <c r="G131" s="56">
        <f>tblIncome15[[#Totals],[Abril]]-G130</f>
        <v>0</v>
      </c>
      <c r="H131" s="55">
        <f>tblIncome15[[#Totals],[Mayo]]-H130</f>
        <v>0</v>
      </c>
      <c r="I131" s="56">
        <f>tblIncome15[[#Totals],[Junio]]-I130</f>
        <v>0</v>
      </c>
      <c r="J131" s="55">
        <f>tblIncome15[[#Totals],[Julio]]-J130</f>
        <v>0</v>
      </c>
      <c r="K131" s="56">
        <f>tblIncome15[[#Totals],[Ago]]-K130</f>
        <v>0</v>
      </c>
      <c r="L131" s="55">
        <f>tblIncome15[[#Totals],[Sept]]-L130</f>
        <v>0</v>
      </c>
      <c r="M131" s="56">
        <f>tblIncome15[[#Totals],[Oct]]-M130</f>
        <v>0</v>
      </c>
      <c r="N131" s="55">
        <f>tblIncome15[[#Totals],[Nov]]-N130</f>
        <v>0</v>
      </c>
      <c r="O131" s="56">
        <f>tblIncome15[[#Totals],[Dic]]-O130</f>
        <v>0</v>
      </c>
      <c r="P131" s="55">
        <f>tblIncome15[[#Totals],[Año]]-P130</f>
        <v>312116</v>
      </c>
      <c r="Q131" s="39"/>
    </row>
    <row r="132" spans="2:17" ht="8.1" customHeight="1" x14ac:dyDescent="0.2">
      <c r="B132" s="67"/>
      <c r="C132" s="28"/>
      <c r="D132" s="30"/>
      <c r="E132" s="28"/>
      <c r="F132" s="30"/>
      <c r="G132" s="28"/>
      <c r="H132" s="30"/>
      <c r="I132" s="28"/>
      <c r="J132" s="30"/>
      <c r="K132" s="28"/>
      <c r="L132" s="30"/>
      <c r="M132" s="28"/>
      <c r="N132" s="30"/>
      <c r="O132" s="28"/>
      <c r="P132" s="30"/>
      <c r="Q132" s="28"/>
    </row>
  </sheetData>
  <mergeCells count="1">
    <mergeCell ref="C2:D2"/>
  </mergeCells>
  <conditionalFormatting sqref="D131:P131">
    <cfRule type="cellIs" dxfId="105" priority="1" operator="lessThan">
      <formula>0</formula>
    </cfRule>
  </conditionalFormatting>
  <printOptions horizontalCentered="1"/>
  <pageMargins left="0.4" right="0.4" top="0.4" bottom="0.4" header="0.3" footer="0.3"/>
  <pageSetup paperSize="9" scale="50" fitToHeight="0" orientation="landscape" r:id="rId1"/>
  <headerFooter differentFirst="1">
    <oddFooter>Page &amp;P of &amp;N</oddFooter>
  </headerFooter>
  <drawing r:id="rId2"/>
  <tableParts count="13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 xr2:uid="{641B0790-5C69-4F20-AC79-C873A42118AD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'2025'!D17:O17</xm:f>
              <xm:sqref>Q17</xm:sqref>
            </x14:sparkline>
            <x14:sparkline>
              <xm:f>'2025'!D18:O18</xm:f>
              <xm:sqref>Q18</xm:sqref>
            </x14:sparkline>
            <x14:sparkline>
              <xm:f>'2025'!D19:O19</xm:f>
              <xm:sqref>Q19</xm:sqref>
            </x14:sparkline>
            <x14:sparkline>
              <xm:f>'2025'!D20:O20</xm:f>
              <xm:sqref>Q20</xm:sqref>
            </x14:sparkline>
            <x14:sparkline>
              <xm:f>'2025'!D21:O21</xm:f>
              <xm:sqref>Q21</xm:sqref>
            </x14:sparkline>
          </x14:sparklines>
        </x14:sparklineGroup>
        <x14:sparklineGroup displayEmptyCellsAs="gap" high="1" low="1" xr2:uid="{3BAA0049-FD9C-4E0E-B96A-9E61792198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'2025'!D16:O16</xm:f>
              <xm:sqref>Q16</xm:sqref>
            </x14:sparkline>
          </x14:sparklines>
        </x14:sparklineGroup>
        <x14:sparklineGroup displayEmptyCellsAs="gap" high="1" low="1" xr2:uid="{8DE3D040-F1DA-4CA7-BBD6-6D7FB9FB4D69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'2025'!D26:O26</xm:f>
              <xm:sqref>Q26</xm:sqref>
            </x14:sparkline>
            <x14:sparkline>
              <xm:f>'2025'!D27:O27</xm:f>
              <xm:sqref>Q27</xm:sqref>
            </x14:sparkline>
            <x14:sparkline>
              <xm:f>'2025'!D28:O28</xm:f>
              <xm:sqref>Q28</xm:sqref>
            </x14:sparkline>
            <x14:sparkline>
              <xm:f>'2025'!D29:O29</xm:f>
              <xm:sqref>Q29</xm:sqref>
            </x14:sparkline>
            <x14:sparkline>
              <xm:f>'2025'!D30:O30</xm:f>
              <xm:sqref>Q30</xm:sqref>
            </x14:sparkline>
            <x14:sparkline>
              <xm:f>'2025'!D31:O31</xm:f>
              <xm:sqref>Q31</xm:sqref>
            </x14:sparkline>
            <x14:sparkline>
              <xm:f>'2025'!D32:O32</xm:f>
              <xm:sqref>Q32</xm:sqref>
            </x14:sparkline>
          </x14:sparklines>
        </x14:sparklineGroup>
        <x14:sparklineGroup displayEmptyCellsAs="gap" high="1" low="1" xr2:uid="{408BF034-A6B0-478C-90DA-942D0D294BB5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'2025'!D37:O37</xm:f>
              <xm:sqref>Q37</xm:sqref>
            </x14:sparkline>
            <x14:sparkline>
              <xm:f>'2025'!D38:O38</xm:f>
              <xm:sqref>Q38</xm:sqref>
            </x14:sparkline>
            <x14:sparkline>
              <xm:f>'2025'!D39:O39</xm:f>
              <xm:sqref>Q39</xm:sqref>
            </x14:sparkline>
            <x14:sparkline>
              <xm:f>'2025'!D40:O40</xm:f>
              <xm:sqref>Q40</xm:sqref>
            </x14:sparkline>
            <x14:sparkline>
              <xm:f>'2025'!D41:O41</xm:f>
              <xm:sqref>Q41</xm:sqref>
            </x14:sparkline>
            <x14:sparkline>
              <xm:f>'2025'!D42:O42</xm:f>
              <xm:sqref>Q42</xm:sqref>
            </x14:sparkline>
            <x14:sparkline>
              <xm:f>'2025'!D43:O43</xm:f>
              <xm:sqref>Q43</xm:sqref>
            </x14:sparkline>
          </x14:sparklines>
        </x14:sparklineGroup>
        <x14:sparklineGroup displayEmptyCellsAs="gap" high="1" low="1" xr2:uid="{A2B433F1-4F4C-4B3F-B652-402478EB4118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'2025'!D48:O48</xm:f>
              <xm:sqref>Q48</xm:sqref>
            </x14:sparkline>
            <x14:sparkline>
              <xm:f>'2025'!D49:O49</xm:f>
              <xm:sqref>Q49</xm:sqref>
            </x14:sparkline>
            <x14:sparkline>
              <xm:f>'2025'!D50:O50</xm:f>
              <xm:sqref>Q50</xm:sqref>
            </x14:sparkline>
            <x14:sparkline>
              <xm:f>'2025'!D51:O51</xm:f>
              <xm:sqref>Q51</xm:sqref>
            </x14:sparkline>
            <x14:sparkline>
              <xm:f>'2025'!D52:O52</xm:f>
              <xm:sqref>Q52</xm:sqref>
            </x14:sparkline>
          </x14:sparklines>
        </x14:sparklineGroup>
        <x14:sparklineGroup displayEmptyCellsAs="gap" high="1" low="1" xr2:uid="{981A2236-D04A-45C8-8983-51EFFB68CDBC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'2025'!D57:O57</xm:f>
              <xm:sqref>Q57</xm:sqref>
            </x14:sparkline>
            <x14:sparkline>
              <xm:f>'2025'!D58:O58</xm:f>
              <xm:sqref>Q58</xm:sqref>
            </x14:sparkline>
            <x14:sparkline>
              <xm:f>'2025'!D59:O59</xm:f>
              <xm:sqref>Q59</xm:sqref>
            </x14:sparkline>
            <x14:sparkline>
              <xm:f>'2025'!D60:O60</xm:f>
              <xm:sqref>Q60</xm:sqref>
            </x14:sparkline>
            <x14:sparkline>
              <xm:f>'2025'!D61:O61</xm:f>
              <xm:sqref>Q61</xm:sqref>
            </x14:sparkline>
            <x14:sparkline>
              <xm:f>'2025'!D62:O62</xm:f>
              <xm:sqref>Q62</xm:sqref>
            </x14:sparkline>
            <x14:sparkline>
              <xm:f>'2025'!D63:O63</xm:f>
              <xm:sqref>Q63</xm:sqref>
            </x14:sparkline>
            <x14:sparkline>
              <xm:f>'2025'!D64:O64</xm:f>
              <xm:sqref>Q64</xm:sqref>
            </x14:sparkline>
          </x14:sparklines>
        </x14:sparklineGroup>
        <x14:sparklineGroup displayEmptyCellsAs="gap" high="1" low="1" xr2:uid="{8EBDC82B-2106-475B-9232-0970C0C902EF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'2025'!D69:O69</xm:f>
              <xm:sqref>Q69</xm:sqref>
            </x14:sparkline>
            <x14:sparkline>
              <xm:f>'2025'!D70:O70</xm:f>
              <xm:sqref>Q70</xm:sqref>
            </x14:sparkline>
            <x14:sparkline>
              <xm:f>'2025'!D71:O71</xm:f>
              <xm:sqref>Q71</xm:sqref>
            </x14:sparkline>
            <x14:sparkline>
              <xm:f>'2025'!D72:O72</xm:f>
              <xm:sqref>Q72</xm:sqref>
            </x14:sparkline>
            <x14:sparkline>
              <xm:f>'2025'!D73:O73</xm:f>
              <xm:sqref>Q73</xm:sqref>
            </x14:sparkline>
            <x14:sparkline>
              <xm:f>'2025'!D74:O74</xm:f>
              <xm:sqref>Q74</xm:sqref>
            </x14:sparkline>
            <x14:sparkline>
              <xm:f>'2025'!D75:O75</xm:f>
              <xm:sqref>Q75</xm:sqref>
            </x14:sparkline>
          </x14:sparklines>
        </x14:sparklineGroup>
        <x14:sparklineGroup displayEmptyCellsAs="gap" high="1" low="1" xr2:uid="{30366ECC-3676-4240-AF09-4A9E08C73564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'2025'!D80:O80</xm:f>
              <xm:sqref>Q80</xm:sqref>
            </x14:sparkline>
            <x14:sparkline>
              <xm:f>'2025'!D81:O81</xm:f>
              <xm:sqref>Q81</xm:sqref>
            </x14:sparkline>
            <x14:sparkline>
              <xm:f>'2025'!D82:O82</xm:f>
              <xm:sqref>Q82</xm:sqref>
            </x14:sparkline>
            <x14:sparkline>
              <xm:f>'2025'!D83:O83</xm:f>
              <xm:sqref>Q83</xm:sqref>
            </x14:sparkline>
            <x14:sparkline>
              <xm:f>'2025'!D84:O84</xm:f>
              <xm:sqref>Q84</xm:sqref>
            </x14:sparkline>
          </x14:sparklines>
        </x14:sparklineGroup>
        <x14:sparklineGroup displayEmptyCellsAs="gap" high="1" low="1" xr2:uid="{6A447680-3482-433B-A067-B9C3EA2D7D36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'2025'!D89:O89</xm:f>
              <xm:sqref>Q89</xm:sqref>
            </x14:sparkline>
            <x14:sparkline>
              <xm:f>'2025'!D90:O90</xm:f>
              <xm:sqref>Q90</xm:sqref>
            </x14:sparkline>
            <x14:sparkline>
              <xm:f>'2025'!D91:O91</xm:f>
              <xm:sqref>Q91</xm:sqref>
            </x14:sparkline>
            <x14:sparkline>
              <xm:f>'2025'!D92:O92</xm:f>
              <xm:sqref>Q92</xm:sqref>
            </x14:sparkline>
            <x14:sparkline>
              <xm:f>'2025'!D93:O93</xm:f>
              <xm:sqref>Q93</xm:sqref>
            </x14:sparkline>
            <x14:sparkline>
              <xm:f>'2025'!D94:O94</xm:f>
              <xm:sqref>Q94</xm:sqref>
            </x14:sparkline>
            <x14:sparkline>
              <xm:f>'2025'!D95:O95</xm:f>
              <xm:sqref>Q95</xm:sqref>
            </x14:sparkline>
            <x14:sparkline>
              <xm:f>'2025'!D96:O96</xm:f>
              <xm:sqref>Q96</xm:sqref>
            </x14:sparkline>
          </x14:sparklines>
        </x14:sparklineGroup>
        <x14:sparklineGroup displayEmptyCellsAs="gap" high="1" low="1" xr2:uid="{0FFD069B-A128-4FD3-B282-653CB578FE18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'2025'!D101:O101</xm:f>
              <xm:sqref>Q101</xm:sqref>
            </x14:sparkline>
            <x14:sparkline>
              <xm:f>'2025'!D102:O102</xm:f>
              <xm:sqref>Q102</xm:sqref>
            </x14:sparkline>
            <x14:sparkline>
              <xm:f>'2025'!D103:O103</xm:f>
              <xm:sqref>Q103</xm:sqref>
            </x14:sparkline>
            <x14:sparkline>
              <xm:f>'2025'!D104:O104</xm:f>
              <xm:sqref>Q104</xm:sqref>
            </x14:sparkline>
            <x14:sparkline>
              <xm:f>'2025'!D105:O105</xm:f>
              <xm:sqref>Q105</xm:sqref>
            </x14:sparkline>
            <x14:sparkline>
              <xm:f>'2025'!D106:O106</xm:f>
              <xm:sqref>Q106</xm:sqref>
            </x14:sparkline>
          </x14:sparklines>
        </x14:sparklineGroup>
        <x14:sparklineGroup displayEmptyCellsAs="gap" high="1" low="1" xr2:uid="{56E246C8-C801-424A-9E7E-0692017BBADB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'2025'!D111:O111</xm:f>
              <xm:sqref>Q111</xm:sqref>
            </x14:sparkline>
            <x14:sparkline>
              <xm:f>'2025'!D112:O112</xm:f>
              <xm:sqref>Q112</xm:sqref>
            </x14:sparkline>
            <x14:sparkline>
              <xm:f>'2025'!D113:O113</xm:f>
              <xm:sqref>Q113</xm:sqref>
            </x14:sparkline>
            <x14:sparkline>
              <xm:f>'2025'!D114:O114</xm:f>
              <xm:sqref>Q114</xm:sqref>
            </x14:sparkline>
            <x14:sparkline>
              <xm:f>'2025'!D115:O115</xm:f>
              <xm:sqref>Q115</xm:sqref>
            </x14:sparkline>
            <x14:sparkline>
              <xm:f>'2025'!D116:O116</xm:f>
              <xm:sqref>Q116</xm:sqref>
            </x14:sparkline>
          </x14:sparklines>
        </x14:sparklineGroup>
        <x14:sparklineGroup displayEmptyCellsAs="gap" high="1" low="1" xr2:uid="{B1541B48-623B-4145-9560-9BE9B5024990}">
          <x14:colorSeries theme="0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'2025'!D130:O130</xm:f>
              <xm:sqref>Q130</xm:sqref>
            </x14:sparkline>
            <x14:sparkline>
              <xm:f>'2025'!D131:O131</xm:f>
              <xm:sqref>Q131</xm:sqref>
            </x14:sparkline>
          </x14:sparklines>
        </x14:sparklineGroup>
        <x14:sparklineGroup displayEmptyCellsAs="gap" high="1" low="1" xr2:uid="{53E78701-8B86-4295-AEF4-BD6EDB947481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'2025'!D7:O7</xm:f>
              <xm:sqref>Q7</xm:sqref>
            </x14:sparkline>
            <x14:sparkline>
              <xm:f>'2025'!D8:O8</xm:f>
              <xm:sqref>Q8</xm:sqref>
            </x14:sparkline>
            <x14:sparkline>
              <xm:f>'2025'!D9:O9</xm:f>
              <xm:sqref>Q9</xm:sqref>
            </x14:sparkline>
            <x14:sparkline>
              <xm:f>'2025'!D10:O10</xm:f>
              <xm:sqref>Q10</xm:sqref>
            </x14:sparkline>
          </x14:sparklines>
        </x14:sparklineGroup>
        <x14:sparklineGroup displayEmptyCellsAs="gap" high="1" low="1" xr2:uid="{73DA58C0-7801-4C74-8A34-E232E553EB15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'2025'!D121:O121</xm:f>
              <xm:sqref>Q121</xm:sqref>
            </x14:sparkline>
            <x14:sparkline>
              <xm:f>'2025'!D122:O122</xm:f>
              <xm:sqref>Q122</xm:sqref>
            </x14:sparkline>
            <x14:sparkline>
              <xm:f>'2025'!D123:O123</xm:f>
              <xm:sqref>Q123</xm:sqref>
            </x14:sparkline>
            <x14:sparkline>
              <xm:f>'2025'!D124:O124</xm:f>
              <xm:sqref>Q124</xm:sqref>
            </x14:sparkline>
            <x14:sparkline>
              <xm:f>'2025'!D125:O125</xm:f>
              <xm:sqref>Q125</xm:sqref>
            </x14:sparkline>
            <x14:sparkline>
              <xm:f>'2025'!D126:O126</xm:f>
              <xm:sqref>Q126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TM04035483</Templat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PERSONAL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Brian Cifuentes</cp:lastModifiedBy>
  <dcterms:created xsi:type="dcterms:W3CDTF">2018-05-22T04:56:34Z</dcterms:created>
  <dcterms:modified xsi:type="dcterms:W3CDTF">2024-10-18T18:50:34Z</dcterms:modified>
</cp:coreProperties>
</file>